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215" yWindow="525" windowWidth="22545" windowHeight="10620" tabRatio="684" activeTab="6"/>
  </bookViews>
  <sheets>
    <sheet name="MD Fees CHIR" sheetId="14" r:id="rId1"/>
    <sheet name="FCM" sheetId="7" r:id="rId2"/>
    <sheet name="SM" sheetId="8" r:id="rId3"/>
    <sheet name="PER" sheetId="9" r:id="rId4"/>
    <sheet name="PS" sheetId="10" r:id="rId5"/>
    <sheet name="Int'l" sheetId="13" r:id="rId6"/>
    <sheet name="COMP Fees CHIR" sheetId="11" r:id="rId7"/>
    <sheet name="International Comp Dist" sheetId="5" r:id="rId8"/>
    <sheet name="PMC" sheetId="4" r:id="rId9"/>
    <sheet name="Competitive" sheetId="15" r:id="rId10"/>
    <sheet name="MD Distribution CHIR 1 Q 10" sheetId="16" r:id="rId11"/>
    <sheet name="MD Distribution CHIR Q7" sheetId="17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fy" localSheetId="1">'[1]Enter Selected Data Here'!$C$3</definedName>
    <definedName name="fy" localSheetId="5">'[1]Enter Selected Data Here'!$C$3</definedName>
    <definedName name="fy" localSheetId="3">'[1]Enter Selected Data Here'!$C$3</definedName>
    <definedName name="fy" localSheetId="4">'[1]Enter Selected Data Here'!$C$3</definedName>
    <definedName name="fy" localSheetId="2">'[1]Enter Selected Data Here'!$C$3</definedName>
    <definedName name="fy">'[2]Enter Selected Data Here'!$C$3</definedName>
    <definedName name="OLE_LINK1" localSheetId="2">SM!$E$5</definedName>
    <definedName name="_xlnm.Print_Area" localSheetId="10">'MD Distribution CHIR 1 Q 10'!$A$1:$C$154</definedName>
  </definedNames>
  <calcPr calcId="145621"/>
</workbook>
</file>

<file path=xl/calcChain.xml><?xml version="1.0" encoding="utf-8"?>
<calcChain xmlns="http://schemas.openxmlformats.org/spreadsheetml/2006/main">
  <c r="L13" i="8" l="1"/>
  <c r="R24" i="10"/>
  <c r="U24" i="10"/>
  <c r="R25" i="10"/>
  <c r="R26" i="10"/>
  <c r="T12" i="10" l="1"/>
  <c r="T13" i="10"/>
  <c r="T14" i="10"/>
  <c r="T15" i="10"/>
  <c r="S13" i="10"/>
  <c r="S14" i="10"/>
  <c r="S15" i="10"/>
  <c r="S12" i="10"/>
  <c r="R20" i="10"/>
  <c r="R13" i="10"/>
  <c r="R14" i="10"/>
  <c r="R15" i="10"/>
  <c r="R17" i="10"/>
  <c r="R18" i="10"/>
  <c r="R12" i="10"/>
  <c r="E130" i="17"/>
  <c r="E129" i="17"/>
  <c r="E128" i="17"/>
  <c r="E127" i="17"/>
  <c r="E126" i="17"/>
  <c r="Q24" i="8"/>
  <c r="Q25" i="8"/>
  <c r="Q26" i="8"/>
  <c r="Q27" i="8"/>
  <c r="Q28" i="8"/>
  <c r="Q23" i="8"/>
  <c r="Q21" i="8"/>
  <c r="Q20" i="8"/>
  <c r="E52" i="17"/>
  <c r="E50" i="17"/>
  <c r="E49" i="17"/>
  <c r="E48" i="17"/>
  <c r="E47" i="17"/>
  <c r="E46" i="17"/>
  <c r="E44" i="17"/>
  <c r="E43" i="17"/>
  <c r="B66" i="17"/>
  <c r="Q31" i="8"/>
  <c r="P34" i="7"/>
  <c r="P26" i="7"/>
  <c r="P25" i="7"/>
  <c r="P24" i="7"/>
  <c r="P23" i="7"/>
  <c r="P31" i="7" s="1"/>
  <c r="O43" i="7"/>
  <c r="O44" i="7"/>
  <c r="O45" i="7"/>
  <c r="O46" i="7"/>
  <c r="P19" i="7"/>
  <c r="P18" i="7"/>
  <c r="P17" i="7"/>
  <c r="P16" i="7"/>
  <c r="P15" i="7"/>
  <c r="P14" i="7"/>
  <c r="Q14" i="7" s="1"/>
  <c r="R14" i="7" s="1"/>
  <c r="P13" i="7"/>
  <c r="P12" i="7"/>
  <c r="Q12" i="7" s="1"/>
  <c r="R12" i="7" s="1"/>
  <c r="P11" i="7"/>
  <c r="P20" i="7" s="1"/>
  <c r="U20" i="10" l="1"/>
  <c r="U25" i="10" s="1"/>
  <c r="Q16" i="7"/>
  <c r="R16" i="7" s="1"/>
  <c r="Q18" i="7"/>
  <c r="R18" i="7" s="1"/>
  <c r="P33" i="7"/>
  <c r="S31" i="7"/>
  <c r="Q13" i="7"/>
  <c r="R13" i="7" s="1"/>
  <c r="Q15" i="7"/>
  <c r="R15" i="7" s="1"/>
  <c r="Q17" i="7"/>
  <c r="R17" i="7" s="1"/>
  <c r="Q19" i="7"/>
  <c r="R19" i="7" s="1"/>
  <c r="Q11" i="7"/>
  <c r="R11" i="7" s="1"/>
  <c r="S32" i="7" l="1"/>
  <c r="S20" i="7"/>
  <c r="E149" i="16" l="1"/>
  <c r="E150" i="16" s="1"/>
  <c r="E145" i="16"/>
  <c r="E140" i="16"/>
  <c r="E134" i="16"/>
  <c r="E135" i="16" s="1"/>
  <c r="E141" i="16" s="1"/>
  <c r="E128" i="16"/>
  <c r="E107" i="16"/>
  <c r="E104" i="16"/>
  <c r="E99" i="16"/>
  <c r="E100" i="16" s="1"/>
  <c r="E95" i="16"/>
  <c r="E90" i="16"/>
  <c r="E86" i="16"/>
  <c r="E77" i="16"/>
  <c r="E72" i="16"/>
  <c r="E65" i="16"/>
  <c r="E62" i="16"/>
  <c r="E66" i="16" s="1"/>
  <c r="E57" i="16"/>
  <c r="E54" i="16"/>
  <c r="E49" i="16"/>
  <c r="E45" i="16"/>
  <c r="E50" i="16" s="1"/>
  <c r="E36" i="16"/>
  <c r="E32" i="16"/>
  <c r="E37" i="16" s="1"/>
  <c r="E38" i="16" s="1"/>
  <c r="B149" i="17"/>
  <c r="B150" i="17" s="1"/>
  <c r="B145" i="17"/>
  <c r="B140" i="17"/>
  <c r="B141" i="17" s="1"/>
  <c r="B134" i="17"/>
  <c r="B135" i="17" s="1"/>
  <c r="B128" i="17"/>
  <c r="B107" i="17"/>
  <c r="B104" i="17"/>
  <c r="B99" i="17"/>
  <c r="B100" i="17" s="1"/>
  <c r="B95" i="17"/>
  <c r="B90" i="17"/>
  <c r="B86" i="17"/>
  <c r="B77" i="17"/>
  <c r="B72" i="17"/>
  <c r="B65" i="17"/>
  <c r="B62" i="17"/>
  <c r="B57" i="17"/>
  <c r="B58" i="17" s="1"/>
  <c r="B54" i="17"/>
  <c r="B49" i="17"/>
  <c r="B45" i="17"/>
  <c r="B36" i="17"/>
  <c r="B37" i="17" s="1"/>
  <c r="B38" i="17" s="1"/>
  <c r="B32" i="17"/>
  <c r="B91" i="17" l="1"/>
  <c r="B79" i="17"/>
  <c r="B50" i="17"/>
  <c r="E91" i="16"/>
  <c r="E58" i="16"/>
  <c r="E151" i="16"/>
  <c r="E67" i="16"/>
  <c r="E80" i="16"/>
  <c r="E110" i="16" s="1"/>
  <c r="E79" i="16"/>
  <c r="E109" i="16" s="1"/>
  <c r="E153" i="16"/>
  <c r="E78" i="16"/>
  <c r="E108" i="16"/>
  <c r="B80" i="17"/>
  <c r="B81" i="17" s="1"/>
  <c r="B110" i="17"/>
  <c r="B111" i="17" s="1"/>
  <c r="B109" i="17"/>
  <c r="B151" i="17"/>
  <c r="B153" i="17" s="1"/>
  <c r="B78" i="17"/>
  <c r="B108" i="17"/>
  <c r="B67" i="17" l="1"/>
  <c r="Q29" i="8" s="1"/>
  <c r="Q32" i="8" s="1"/>
  <c r="E111" i="16"/>
  <c r="E81" i="16"/>
  <c r="R21" i="8" l="1"/>
  <c r="R23" i="8"/>
  <c r="R25" i="8"/>
  <c r="R27" i="8"/>
  <c r="R20" i="8"/>
  <c r="R22" i="8"/>
  <c r="R24" i="8"/>
  <c r="R26" i="8"/>
  <c r="R28" i="8"/>
  <c r="P21" i="10"/>
  <c r="R29" i="8" l="1"/>
  <c r="L29" i="8"/>
  <c r="M22" i="8" s="1"/>
  <c r="K5" i="8"/>
  <c r="M35" i="7"/>
  <c r="D35" i="10"/>
  <c r="D34" i="10"/>
  <c r="D31" i="10"/>
  <c r="D30" i="10"/>
  <c r="D25" i="10"/>
  <c r="D24" i="10"/>
  <c r="D23" i="10"/>
  <c r="D19" i="10"/>
  <c r="D18" i="10"/>
  <c r="D17" i="10"/>
  <c r="D13" i="10"/>
  <c r="D12" i="10"/>
  <c r="D11" i="10"/>
  <c r="C13" i="9"/>
  <c r="C12" i="9"/>
  <c r="C11" i="9"/>
  <c r="C9" i="9"/>
  <c r="E3" i="9"/>
  <c r="D3" i="9"/>
  <c r="D84" i="8"/>
  <c r="D82" i="8"/>
  <c r="D83" i="8"/>
  <c r="D76" i="8"/>
  <c r="D75" i="8"/>
  <c r="D73" i="8"/>
  <c r="D72" i="8"/>
  <c r="D68" i="8"/>
  <c r="D67" i="8"/>
  <c r="D64" i="8"/>
  <c r="D63" i="8"/>
  <c r="D59" i="8"/>
  <c r="D58" i="8"/>
  <c r="D55" i="8"/>
  <c r="D54" i="8"/>
  <c r="D46" i="8"/>
  <c r="D45" i="8"/>
  <c r="D44" i="8"/>
  <c r="D41" i="8"/>
  <c r="D40" i="8"/>
  <c r="D39" i="8"/>
  <c r="D34" i="8"/>
  <c r="D33" i="8"/>
  <c r="D31" i="8"/>
  <c r="D30" i="8"/>
  <c r="D26" i="8"/>
  <c r="D25" i="8"/>
  <c r="D23" i="8"/>
  <c r="D22" i="8"/>
  <c r="D18" i="8"/>
  <c r="D17" i="8"/>
  <c r="D14" i="8"/>
  <c r="D13" i="8"/>
  <c r="C26" i="7"/>
  <c r="C25" i="7"/>
  <c r="C24" i="7"/>
  <c r="C20" i="7"/>
  <c r="C18" i="7"/>
  <c r="C17" i="7"/>
  <c r="C16" i="7"/>
  <c r="C14" i="7"/>
  <c r="C13" i="7"/>
  <c r="C12" i="7"/>
  <c r="C11" i="7"/>
  <c r="B40" i="14"/>
  <c r="B39" i="14"/>
  <c r="B37" i="14"/>
  <c r="B36" i="14"/>
  <c r="B35" i="14"/>
  <c r="B32" i="14"/>
  <c r="B31" i="14"/>
  <c r="B28" i="14"/>
  <c r="B27" i="14"/>
  <c r="F5" i="8" s="1"/>
  <c r="B26" i="14"/>
  <c r="E5" i="8" s="1"/>
  <c r="B15" i="14"/>
  <c r="B22" i="14"/>
  <c r="B20" i="14"/>
  <c r="B19" i="14"/>
  <c r="B14" i="14"/>
  <c r="B13" i="14"/>
  <c r="B11" i="14"/>
  <c r="B12" i="14"/>
  <c r="B10" i="14"/>
  <c r="B9" i="14"/>
  <c r="L6" i="10"/>
  <c r="J8" i="10"/>
  <c r="M5" i="10"/>
  <c r="C127" i="16"/>
  <c r="C128" i="16" s="1"/>
  <c r="B128" i="16" s="1"/>
  <c r="C126" i="16"/>
  <c r="B136" i="16"/>
  <c r="B126" i="16"/>
  <c r="B124" i="16"/>
  <c r="B118" i="16"/>
  <c r="B116" i="16"/>
  <c r="B115" i="16"/>
  <c r="B113" i="16"/>
  <c r="B101" i="16"/>
  <c r="B96" i="16"/>
  <c r="B92" i="16"/>
  <c r="B87" i="16"/>
  <c r="B83" i="16"/>
  <c r="B82" i="16"/>
  <c r="B73" i="16"/>
  <c r="B68" i="16"/>
  <c r="B59" i="16"/>
  <c r="B51" i="16"/>
  <c r="B46" i="16"/>
  <c r="G99" i="8"/>
  <c r="F96" i="8"/>
  <c r="E96" i="8"/>
  <c r="G96" i="8" s="1"/>
  <c r="I83" i="8"/>
  <c r="D32" i="8"/>
  <c r="C34" i="16"/>
  <c r="B34" i="16" s="1"/>
  <c r="B127" i="16" l="1"/>
  <c r="G6" i="8"/>
  <c r="D19" i="8"/>
  <c r="D24" i="8"/>
  <c r="D27" i="8"/>
  <c r="D56" i="8"/>
  <c r="D32" i="10"/>
  <c r="D15" i="8"/>
  <c r="G6" i="10"/>
  <c r="G31" i="10" s="1"/>
  <c r="G7" i="10" s="1"/>
  <c r="G8" i="10" s="1"/>
  <c r="C36" i="16"/>
  <c r="B36" i="16" s="1"/>
  <c r="D35" i="8"/>
  <c r="D36" i="8" s="1"/>
  <c r="D42" i="8"/>
  <c r="D47" i="8"/>
  <c r="D65" i="8"/>
  <c r="D69" i="8"/>
  <c r="D70" i="8" s="1"/>
  <c r="D74" i="8"/>
  <c r="D79" i="8" s="1"/>
  <c r="I6" i="10"/>
  <c r="D26" i="10"/>
  <c r="D36" i="10"/>
  <c r="D20" i="10"/>
  <c r="D21" i="10" s="1"/>
  <c r="H6" i="10"/>
  <c r="H25" i="10" s="1"/>
  <c r="D27" i="10"/>
  <c r="K6" i="10"/>
  <c r="C35" i="16"/>
  <c r="B35" i="16" s="1"/>
  <c r="M33" i="7"/>
  <c r="M30" i="7"/>
  <c r="E6" i="8"/>
  <c r="E25" i="8" s="1"/>
  <c r="M20" i="8"/>
  <c r="M27" i="8"/>
  <c r="M25" i="8"/>
  <c r="M23" i="8"/>
  <c r="M21" i="8"/>
  <c r="D77" i="8"/>
  <c r="D80" i="8" s="1"/>
  <c r="D81" i="8" s="1"/>
  <c r="M28" i="8"/>
  <c r="M26" i="8"/>
  <c r="M24" i="8"/>
  <c r="E84" i="8"/>
  <c r="D60" i="8"/>
  <c r="D61" i="8" s="1"/>
  <c r="D37" i="10"/>
  <c r="F6" i="8"/>
  <c r="F14" i="8" s="1"/>
  <c r="H6" i="8"/>
  <c r="D48" i="8"/>
  <c r="D28" i="8"/>
  <c r="D20" i="8"/>
  <c r="F82" i="8"/>
  <c r="K23" i="10"/>
  <c r="E72" i="8"/>
  <c r="I35" i="10"/>
  <c r="L34" i="10"/>
  <c r="L11" i="10"/>
  <c r="K17" i="10"/>
  <c r="I18" i="10"/>
  <c r="H19" i="10"/>
  <c r="L23" i="10"/>
  <c r="H24" i="10"/>
  <c r="I25" i="10"/>
  <c r="K30" i="10"/>
  <c r="I31" i="10"/>
  <c r="K34" i="10"/>
  <c r="K11" i="10"/>
  <c r="L17" i="10"/>
  <c r="H18" i="10"/>
  <c r="I19" i="10"/>
  <c r="I24" i="10"/>
  <c r="L30" i="10"/>
  <c r="H5" i="8"/>
  <c r="H76" i="8" s="1"/>
  <c r="I76" i="8" s="1"/>
  <c r="C106" i="16" s="1"/>
  <c r="B106" i="16" s="1"/>
  <c r="F97" i="8"/>
  <c r="F18" i="8"/>
  <c r="F40" i="8"/>
  <c r="E46" i="8"/>
  <c r="H58" i="8"/>
  <c r="E75" i="8"/>
  <c r="E97" i="8"/>
  <c r="G5" i="8" s="1"/>
  <c r="F13" i="8"/>
  <c r="G14" i="8"/>
  <c r="F17" i="8"/>
  <c r="H18" i="8"/>
  <c r="F22" i="8"/>
  <c r="G25" i="8"/>
  <c r="E26" i="8"/>
  <c r="H30" i="8"/>
  <c r="H31" i="8"/>
  <c r="I31" i="8" s="1"/>
  <c r="C61" i="16" s="1"/>
  <c r="B61" i="16" s="1"/>
  <c r="H34" i="8"/>
  <c r="E41" i="8"/>
  <c r="H44" i="8"/>
  <c r="F45" i="8"/>
  <c r="H46" i="8"/>
  <c r="F54" i="8"/>
  <c r="H59" i="8"/>
  <c r="F67" i="8"/>
  <c r="H68" i="8"/>
  <c r="H75" i="8"/>
  <c r="D37" i="8" l="1"/>
  <c r="D51" i="8" s="1"/>
  <c r="F64" i="8"/>
  <c r="F30" i="8"/>
  <c r="D78" i="8"/>
  <c r="D85" i="8" s="1"/>
  <c r="F63" i="8"/>
  <c r="F58" i="8"/>
  <c r="F39" i="8"/>
  <c r="E33" i="8"/>
  <c r="F68" i="8"/>
  <c r="F59" i="8"/>
  <c r="I59" i="8" s="1"/>
  <c r="C89" i="16" s="1"/>
  <c r="B89" i="16" s="1"/>
  <c r="F55" i="8"/>
  <c r="F44" i="8"/>
  <c r="F7" i="8" s="1"/>
  <c r="F8" i="8" s="1"/>
  <c r="E34" i="8"/>
  <c r="H7" i="10"/>
  <c r="H8" i="10" s="1"/>
  <c r="N22" i="8"/>
  <c r="I84" i="8"/>
  <c r="D28" i="10"/>
  <c r="D38" i="10" s="1"/>
  <c r="E6" i="10" s="1"/>
  <c r="M34" i="7"/>
  <c r="M36" i="7" s="1"/>
  <c r="I87" i="8"/>
  <c r="K6" i="8"/>
  <c r="K7" i="8" s="1"/>
  <c r="K7" i="10"/>
  <c r="K8" i="10" s="1"/>
  <c r="I58" i="8"/>
  <c r="C88" i="16" s="1"/>
  <c r="B88" i="16" s="1"/>
  <c r="G55" i="8"/>
  <c r="G40" i="8"/>
  <c r="I40" i="8" s="1"/>
  <c r="C70" i="16" s="1"/>
  <c r="B70" i="16" s="1"/>
  <c r="G82" i="8"/>
  <c r="I82" i="8" s="1"/>
  <c r="G73" i="8"/>
  <c r="I73" i="8" s="1"/>
  <c r="C103" i="16" s="1"/>
  <c r="B103" i="16" s="1"/>
  <c r="H67" i="8"/>
  <c r="I67" i="8" s="1"/>
  <c r="C97" i="16" s="1"/>
  <c r="H45" i="8"/>
  <c r="I45" i="8" s="1"/>
  <c r="C75" i="16" s="1"/>
  <c r="B75" i="16" s="1"/>
  <c r="H33" i="8"/>
  <c r="H17" i="8"/>
  <c r="I17" i="8" s="1"/>
  <c r="C47" i="16" s="1"/>
  <c r="E35" i="10"/>
  <c r="E31" i="10"/>
  <c r="E25" i="10"/>
  <c r="E23" i="10"/>
  <c r="E18" i="10"/>
  <c r="E11" i="10"/>
  <c r="E34" i="10"/>
  <c r="E30" i="10"/>
  <c r="E24" i="10"/>
  <c r="E19" i="10"/>
  <c r="E17" i="10"/>
  <c r="F6" i="10"/>
  <c r="I7" i="10"/>
  <c r="I8" i="10" s="1"/>
  <c r="L7" i="10"/>
  <c r="L8" i="10" s="1"/>
  <c r="I25" i="8"/>
  <c r="C55" i="16" s="1"/>
  <c r="I68" i="8"/>
  <c r="I55" i="8"/>
  <c r="C85" i="16" s="1"/>
  <c r="B85" i="16" s="1"/>
  <c r="I46" i="8"/>
  <c r="C76" i="16" s="1"/>
  <c r="B76" i="16" s="1"/>
  <c r="I44" i="8"/>
  <c r="I34" i="8"/>
  <c r="C64" i="16" s="1"/>
  <c r="B64" i="16" s="1"/>
  <c r="I30" i="8"/>
  <c r="G22" i="8"/>
  <c r="I22" i="8" s="1"/>
  <c r="G13" i="8"/>
  <c r="I75" i="8"/>
  <c r="G72" i="8"/>
  <c r="I72" i="8" s="1"/>
  <c r="G63" i="8"/>
  <c r="I63" i="8" s="1"/>
  <c r="C93" i="16" s="1"/>
  <c r="G54" i="8"/>
  <c r="I54" i="8" s="1"/>
  <c r="G41" i="8"/>
  <c r="I41" i="8" s="1"/>
  <c r="C71" i="16" s="1"/>
  <c r="B71" i="16" s="1"/>
  <c r="G39" i="8"/>
  <c r="I39" i="8" s="1"/>
  <c r="C69" i="16" s="1"/>
  <c r="G26" i="8"/>
  <c r="I26" i="8" s="1"/>
  <c r="C56" i="16" s="1"/>
  <c r="B56" i="16" s="1"/>
  <c r="G23" i="8"/>
  <c r="I23" i="8" s="1"/>
  <c r="C53" i="16" s="1"/>
  <c r="B53" i="16" s="1"/>
  <c r="I18" i="8"/>
  <c r="I14" i="8"/>
  <c r="C44" i="16" s="1"/>
  <c r="B44" i="16" s="1"/>
  <c r="G64" i="8"/>
  <c r="I64" i="8" s="1"/>
  <c r="C94" i="16" s="1"/>
  <c r="B94" i="16" s="1"/>
  <c r="I5" i="8"/>
  <c r="E7" i="8" l="1"/>
  <c r="E8" i="8" s="1"/>
  <c r="I33" i="8"/>
  <c r="H7" i="8"/>
  <c r="H8" i="8" s="1"/>
  <c r="C112" i="16"/>
  <c r="B112" i="16" s="1"/>
  <c r="N27" i="8"/>
  <c r="C63" i="16"/>
  <c r="C65" i="16" s="1"/>
  <c r="B65" i="16" s="1"/>
  <c r="I35" i="8"/>
  <c r="C30" i="16"/>
  <c r="B30" i="16" s="1"/>
  <c r="C31" i="16"/>
  <c r="B31" i="16" s="1"/>
  <c r="B97" i="16"/>
  <c r="B47" i="16"/>
  <c r="B69" i="16"/>
  <c r="C72" i="16"/>
  <c r="B72" i="16" s="1"/>
  <c r="I56" i="8"/>
  <c r="C84" i="16"/>
  <c r="I74" i="8"/>
  <c r="C102" i="16"/>
  <c r="I19" i="8"/>
  <c r="C48" i="16"/>
  <c r="B48" i="16" s="1"/>
  <c r="C95" i="16"/>
  <c r="B95" i="16" s="1"/>
  <c r="B93" i="16"/>
  <c r="I77" i="8"/>
  <c r="I78" i="8" s="1"/>
  <c r="N26" i="8" s="1"/>
  <c r="C105" i="16"/>
  <c r="I24" i="8"/>
  <c r="C52" i="16"/>
  <c r="I47" i="8"/>
  <c r="C74" i="16"/>
  <c r="I69" i="8"/>
  <c r="C98" i="16"/>
  <c r="B98" i="16" s="1"/>
  <c r="C57" i="16"/>
  <c r="B55" i="16"/>
  <c r="I60" i="8"/>
  <c r="I61" i="8" s="1"/>
  <c r="N24" i="8" s="1"/>
  <c r="C90" i="16"/>
  <c r="I32" i="8"/>
  <c r="I36" i="8" s="1"/>
  <c r="C60" i="16"/>
  <c r="B63" i="16"/>
  <c r="F34" i="10"/>
  <c r="M34" i="10" s="1"/>
  <c r="F30" i="10"/>
  <c r="M30" i="10" s="1"/>
  <c r="F24" i="10"/>
  <c r="M24" i="10" s="1"/>
  <c r="C138" i="16" s="1"/>
  <c r="B138" i="16" s="1"/>
  <c r="F19" i="10"/>
  <c r="M19" i="10" s="1"/>
  <c r="F17" i="10"/>
  <c r="M17" i="10" s="1"/>
  <c r="C131" i="16" s="1"/>
  <c r="B131" i="16" s="1"/>
  <c r="F35" i="10"/>
  <c r="M35" i="10" s="1"/>
  <c r="C149" i="16" s="1"/>
  <c r="B149" i="16" s="1"/>
  <c r="F31" i="10"/>
  <c r="F25" i="10"/>
  <c r="M25" i="10" s="1"/>
  <c r="F23" i="10"/>
  <c r="M23" i="10" s="1"/>
  <c r="F18" i="10"/>
  <c r="M18" i="10" s="1"/>
  <c r="C132" i="16" s="1"/>
  <c r="B132" i="16" s="1"/>
  <c r="F11" i="10"/>
  <c r="E7" i="10"/>
  <c r="E8" i="10" s="1"/>
  <c r="M31" i="10"/>
  <c r="C145" i="16" s="1"/>
  <c r="B145" i="16" s="1"/>
  <c r="I42" i="8"/>
  <c r="I65" i="8"/>
  <c r="G7" i="8"/>
  <c r="G8" i="8" s="1"/>
  <c r="I27" i="8"/>
  <c r="I13" i="8"/>
  <c r="I80" i="8" l="1"/>
  <c r="F7" i="10"/>
  <c r="F8" i="10" s="1"/>
  <c r="I50" i="8"/>
  <c r="I70" i="8"/>
  <c r="N25" i="8" s="1"/>
  <c r="I48" i="8"/>
  <c r="N23" i="8" s="1"/>
  <c r="I79" i="8"/>
  <c r="I28" i="8"/>
  <c r="I15" i="8"/>
  <c r="I20" i="8" s="1"/>
  <c r="N20" i="8" s="1"/>
  <c r="C43" i="16"/>
  <c r="B57" i="16"/>
  <c r="C49" i="16"/>
  <c r="C29" i="16"/>
  <c r="C33" i="16"/>
  <c r="C62" i="16"/>
  <c r="B60" i="16"/>
  <c r="B90" i="16"/>
  <c r="C77" i="16"/>
  <c r="B74" i="16"/>
  <c r="B52" i="16"/>
  <c r="C54" i="16"/>
  <c r="B54" i="16" s="1"/>
  <c r="C107" i="16"/>
  <c r="B105" i="16"/>
  <c r="C104" i="16"/>
  <c r="B104" i="16" s="1"/>
  <c r="B102" i="16"/>
  <c r="C86" i="16"/>
  <c r="B84" i="16"/>
  <c r="C99" i="16"/>
  <c r="C110" i="16" s="1"/>
  <c r="B110" i="16" s="1"/>
  <c r="M27" i="10"/>
  <c r="P14" i="10" s="1"/>
  <c r="C137" i="16"/>
  <c r="B137" i="16" s="1"/>
  <c r="M36" i="10"/>
  <c r="P15" i="10" s="1"/>
  <c r="C148" i="16"/>
  <c r="M32" i="10"/>
  <c r="C144" i="16"/>
  <c r="M26" i="10"/>
  <c r="C139" i="16"/>
  <c r="M20" i="10"/>
  <c r="M21" i="10" s="1"/>
  <c r="P13" i="10" s="1"/>
  <c r="C133" i="16"/>
  <c r="M11" i="10"/>
  <c r="I37" i="8"/>
  <c r="N21" i="8" s="1"/>
  <c r="I49" i="8" l="1"/>
  <c r="I51" i="8" s="1"/>
  <c r="I81" i="8"/>
  <c r="C125" i="16"/>
  <c r="B125" i="16" s="1"/>
  <c r="P12" i="10"/>
  <c r="N29" i="8"/>
  <c r="L14" i="8" s="1"/>
  <c r="I85" i="8"/>
  <c r="I7" i="8" s="1"/>
  <c r="B62" i="16"/>
  <c r="C66" i="16"/>
  <c r="C58" i="16"/>
  <c r="C100" i="16"/>
  <c r="B100" i="16" s="1"/>
  <c r="B99" i="16"/>
  <c r="C109" i="16"/>
  <c r="B86" i="16"/>
  <c r="B107" i="16"/>
  <c r="C108" i="16"/>
  <c r="B108" i="16" s="1"/>
  <c r="B77" i="16"/>
  <c r="C78" i="16"/>
  <c r="B78" i="16" s="1"/>
  <c r="B33" i="16"/>
  <c r="C37" i="16"/>
  <c r="B29" i="16"/>
  <c r="C32" i="16"/>
  <c r="B32" i="16" s="1"/>
  <c r="B49" i="16"/>
  <c r="C45" i="16"/>
  <c r="B45" i="16" s="1"/>
  <c r="B43" i="16"/>
  <c r="C91" i="16"/>
  <c r="B91" i="16" s="1"/>
  <c r="M37" i="10"/>
  <c r="M28" i="10"/>
  <c r="B133" i="16"/>
  <c r="C134" i="16"/>
  <c r="C140" i="16"/>
  <c r="B139" i="16"/>
  <c r="C146" i="16"/>
  <c r="B146" i="16" s="1"/>
  <c r="B144" i="16"/>
  <c r="C150" i="16"/>
  <c r="B148" i="16"/>
  <c r="I90" i="8"/>
  <c r="P20" i="10" l="1"/>
  <c r="P22" i="10" s="1"/>
  <c r="C38" i="16"/>
  <c r="B38" i="16" s="1"/>
  <c r="B37" i="16"/>
  <c r="B58" i="16"/>
  <c r="C79" i="16"/>
  <c r="C50" i="16"/>
  <c r="B50" i="16" s="1"/>
  <c r="B109" i="16"/>
  <c r="C111" i="16"/>
  <c r="C80" i="16"/>
  <c r="B80" i="16" s="1"/>
  <c r="B66" i="16"/>
  <c r="B150" i="16"/>
  <c r="C151" i="16"/>
  <c r="B140" i="16"/>
  <c r="C141" i="16"/>
  <c r="M38" i="10"/>
  <c r="M7" i="10" s="1"/>
  <c r="M8" i="10" s="1"/>
  <c r="C135" i="16"/>
  <c r="B135" i="16" s="1"/>
  <c r="B134" i="16"/>
  <c r="C67" i="16" l="1"/>
  <c r="B67" i="16" s="1"/>
  <c r="B111" i="16"/>
  <c r="B79" i="16"/>
  <c r="C81" i="16"/>
  <c r="B81" i="16" s="1"/>
  <c r="C142" i="16"/>
  <c r="B142" i="16" s="1"/>
  <c r="B141" i="16"/>
  <c r="B151" i="16"/>
  <c r="C152" i="16" l="1"/>
  <c r="B152" i="16" s="1"/>
  <c r="C114" i="16"/>
  <c r="B114" i="16" s="1"/>
  <c r="I41" i="7" l="1"/>
  <c r="I38" i="7"/>
  <c r="G39" i="7" s="1"/>
  <c r="L4" i="7"/>
  <c r="K4" i="7"/>
  <c r="J4" i="7"/>
  <c r="I4" i="7"/>
  <c r="D4" i="7"/>
  <c r="B21" i="14"/>
  <c r="G41" i="7" l="1"/>
  <c r="F4" i="7" s="1"/>
  <c r="F39" i="7"/>
  <c r="F41" i="7" s="1"/>
  <c r="E4" i="7" s="1"/>
  <c r="H39" i="7"/>
  <c r="H41" i="7" s="1"/>
  <c r="G4" i="7" s="1"/>
  <c r="B29" i="14"/>
  <c r="B33" i="14"/>
  <c r="B23" i="14"/>
  <c r="B16" i="14"/>
  <c r="B41" i="14"/>
  <c r="M4" i="7" l="1"/>
  <c r="B24" i="14"/>
  <c r="B42" i="14" s="1"/>
  <c r="C14" i="9" l="1"/>
  <c r="C15" i="9" s="1"/>
  <c r="F3" i="9"/>
  <c r="C27" i="7"/>
  <c r="C22" i="7"/>
  <c r="C19" i="7"/>
  <c r="C15" i="7"/>
  <c r="L5" i="7"/>
  <c r="L21" i="7" s="1"/>
  <c r="K5" i="7"/>
  <c r="K26" i="7" s="1"/>
  <c r="H7" i="7"/>
  <c r="G5" i="7"/>
  <c r="G21" i="7" s="1"/>
  <c r="F5" i="7"/>
  <c r="F20" i="7" s="1"/>
  <c r="E5" i="7"/>
  <c r="E11" i="7" s="1"/>
  <c r="D5" i="7"/>
  <c r="D24" i="7" l="1"/>
  <c r="D11" i="7"/>
  <c r="C23" i="7"/>
  <c r="D4" i="9"/>
  <c r="E4" i="9"/>
  <c r="F11" i="7"/>
  <c r="F12" i="7"/>
  <c r="K12" i="7"/>
  <c r="G13" i="7"/>
  <c r="L13" i="7"/>
  <c r="F14" i="7"/>
  <c r="K14" i="7"/>
  <c r="E16" i="7"/>
  <c r="G17" i="7"/>
  <c r="L17" i="7"/>
  <c r="F18" i="7"/>
  <c r="K18" i="7"/>
  <c r="E20" i="7"/>
  <c r="F21" i="7"/>
  <c r="K21" i="7"/>
  <c r="L25" i="7"/>
  <c r="L26" i="7"/>
  <c r="G12" i="7"/>
  <c r="L12" i="7"/>
  <c r="F13" i="7"/>
  <c r="K13" i="7"/>
  <c r="G14" i="7"/>
  <c r="L14" i="7"/>
  <c r="D16" i="7"/>
  <c r="F16" i="7"/>
  <c r="F17" i="7"/>
  <c r="K17" i="7"/>
  <c r="G18" i="7"/>
  <c r="L18" i="7"/>
  <c r="D20" i="7"/>
  <c r="K25" i="7"/>
  <c r="I5" i="7" l="1"/>
  <c r="I20" i="7" s="1"/>
  <c r="C28" i="7"/>
  <c r="J5" i="7" s="1"/>
  <c r="E6" i="7"/>
  <c r="E7" i="7" s="1"/>
  <c r="D12" i="9"/>
  <c r="D9" i="9"/>
  <c r="D13" i="9"/>
  <c r="D11" i="9"/>
  <c r="E13" i="9"/>
  <c r="E11" i="9"/>
  <c r="E12" i="9"/>
  <c r="E9" i="9"/>
  <c r="I17" i="7"/>
  <c r="I11" i="7"/>
  <c r="I18" i="7"/>
  <c r="I14" i="7"/>
  <c r="L6" i="7"/>
  <c r="L7" i="7" s="1"/>
  <c r="K6" i="7"/>
  <c r="K7" i="7" s="1"/>
  <c r="F6" i="7"/>
  <c r="F7" i="7" s="1"/>
  <c r="J21" i="7"/>
  <c r="J18" i="7"/>
  <c r="J16" i="7"/>
  <c r="J14" i="7"/>
  <c r="M14" i="7" s="1"/>
  <c r="O19" i="7" s="1"/>
  <c r="J12" i="7"/>
  <c r="J26" i="7"/>
  <c r="M26" i="7" s="1"/>
  <c r="C24" i="16" s="1"/>
  <c r="B24" i="16" s="1"/>
  <c r="J25" i="7"/>
  <c r="M25" i="7" s="1"/>
  <c r="J24" i="7"/>
  <c r="M24" i="7" s="1"/>
  <c r="J20" i="7"/>
  <c r="J17" i="7"/>
  <c r="M17" i="7" s="1"/>
  <c r="J13" i="7"/>
  <c r="J11" i="7"/>
  <c r="G6" i="7"/>
  <c r="G7" i="7" s="1"/>
  <c r="I12" i="7" l="1"/>
  <c r="I16" i="7"/>
  <c r="I21" i="7"/>
  <c r="M21" i="7" s="1"/>
  <c r="C19" i="16" s="1"/>
  <c r="B19" i="16" s="1"/>
  <c r="I13" i="7"/>
  <c r="M13" i="7" s="1"/>
  <c r="C22" i="16"/>
  <c r="B22" i="16" s="1"/>
  <c r="O12" i="7"/>
  <c r="C15" i="16"/>
  <c r="B15" i="16" s="1"/>
  <c r="O16" i="7"/>
  <c r="C23" i="16"/>
  <c r="B23" i="16" s="1"/>
  <c r="O14" i="7"/>
  <c r="M18" i="7"/>
  <c r="J6" i="7"/>
  <c r="J7" i="7" s="1"/>
  <c r="C11" i="16"/>
  <c r="B11" i="16" s="1"/>
  <c r="C25" i="16"/>
  <c r="C12" i="16"/>
  <c r="B12" i="16" s="1"/>
  <c r="M27" i="7"/>
  <c r="M12" i="7"/>
  <c r="O13" i="7" s="1"/>
  <c r="M16" i="7"/>
  <c r="M20" i="7"/>
  <c r="F13" i="9"/>
  <c r="C121" i="16" s="1"/>
  <c r="B121" i="16" s="1"/>
  <c r="F12" i="9"/>
  <c r="C120" i="16" s="1"/>
  <c r="B120" i="16" s="1"/>
  <c r="F9" i="9"/>
  <c r="D5" i="9"/>
  <c r="D6" i="9" s="1"/>
  <c r="E5" i="9"/>
  <c r="E6" i="9" s="1"/>
  <c r="F11" i="9"/>
  <c r="M19" i="7"/>
  <c r="I6" i="7"/>
  <c r="I7" i="7" s="1"/>
  <c r="C117" i="16" l="1"/>
  <c r="B117" i="16" s="1"/>
  <c r="I9" i="9"/>
  <c r="C14" i="16"/>
  <c r="B14" i="16" s="1"/>
  <c r="O15" i="7"/>
  <c r="C16" i="16"/>
  <c r="B16" i="16" s="1"/>
  <c r="O17" i="7"/>
  <c r="C18" i="16"/>
  <c r="B18" i="16" s="1"/>
  <c r="O18" i="7"/>
  <c r="M22" i="7"/>
  <c r="F14" i="9"/>
  <c r="C119" i="16"/>
  <c r="C10" i="16"/>
  <c r="B10" i="16" s="1"/>
  <c r="B25" i="16"/>
  <c r="C20" i="16" l="1"/>
  <c r="B20" i="16" s="1"/>
  <c r="C17" i="16"/>
  <c r="B17" i="16" s="1"/>
  <c r="F15" i="9"/>
  <c r="I10" i="9"/>
  <c r="C122" i="16"/>
  <c r="B119" i="16"/>
  <c r="I11" i="9" l="1"/>
  <c r="B122" i="16"/>
  <c r="C123" i="16"/>
  <c r="B123" i="16" s="1"/>
  <c r="P31" i="8" l="1"/>
  <c r="D6" i="7" l="1"/>
  <c r="D7" i="7" s="1"/>
  <c r="M11" i="7"/>
  <c r="M15" i="7" s="1"/>
  <c r="M23" i="7" s="1"/>
  <c r="M28" i="7" s="1"/>
  <c r="C9" i="16" l="1"/>
  <c r="B9" i="16" s="1"/>
  <c r="O11" i="7"/>
  <c r="M6" i="7"/>
  <c r="M7" i="7" s="1"/>
  <c r="C13" i="16" l="1"/>
  <c r="B13" i="16" s="1"/>
  <c r="O20" i="7"/>
  <c r="C21" i="16" l="1"/>
  <c r="C26" i="16" s="1"/>
  <c r="M31" i="7"/>
  <c r="M32" i="7" s="1"/>
  <c r="P35" i="7" l="1"/>
  <c r="S34" i="7"/>
  <c r="S35" i="7" s="1"/>
  <c r="B21" i="16"/>
  <c r="B26" i="16"/>
  <c r="C39" i="16"/>
  <c r="B39" i="16" l="1"/>
  <c r="C154" i="16"/>
  <c r="B154" i="16" s="1"/>
  <c r="L15" i="8" l="1"/>
  <c r="O28" i="8" s="1"/>
  <c r="O24" i="8" l="1"/>
  <c r="P24" i="8" s="1"/>
  <c r="O20" i="8"/>
  <c r="P20" i="8" s="1"/>
  <c r="O23" i="8"/>
  <c r="P23" i="8" s="1"/>
  <c r="O27" i="8"/>
  <c r="P27" i="8" s="1"/>
  <c r="O25" i="8"/>
  <c r="P25" i="8" s="1"/>
  <c r="O21" i="8"/>
  <c r="P21" i="8" s="1"/>
  <c r="O26" i="8"/>
  <c r="P26" i="8" s="1"/>
  <c r="O22" i="8"/>
  <c r="P22" i="8" s="1"/>
  <c r="P29" i="8" l="1"/>
</calcChain>
</file>

<file path=xl/sharedStrings.xml><?xml version="1.0" encoding="utf-8"?>
<sst xmlns="http://schemas.openxmlformats.org/spreadsheetml/2006/main" count="954" uniqueCount="258">
  <si>
    <t>CHIR 1 Question 11</t>
  </si>
  <si>
    <t xml:space="preserve">Certificates of Mailing </t>
  </si>
  <si>
    <t>Volume</t>
  </si>
  <si>
    <t>Basic</t>
  </si>
  <si>
    <t>Firm Mailing Book</t>
  </si>
  <si>
    <t>Bulk</t>
  </si>
  <si>
    <t>Business Reply Service</t>
  </si>
  <si>
    <t>Certificates of Mailing</t>
  </si>
  <si>
    <t>Merchandise Return Service</t>
  </si>
  <si>
    <t xml:space="preserve">Special Handling </t>
  </si>
  <si>
    <t xml:space="preserve">Address Correction Services (ACS) </t>
  </si>
  <si>
    <t>Total</t>
  </si>
  <si>
    <t>Fee Revenue</t>
  </si>
  <si>
    <t>Total Volume for Distribution</t>
  </si>
  <si>
    <t>All data are based on the volumes or revenues reported in the Billing Determinants for FY 2012.</t>
  </si>
  <si>
    <t>Fees</t>
  </si>
  <si>
    <t>Mail Class or Service</t>
  </si>
  <si>
    <t>(000)</t>
  </si>
  <si>
    <t>MARKET DOMINANT MAIL</t>
  </si>
  <si>
    <t>First-Class Mail:</t>
  </si>
  <si>
    <t>Domestic First-Class Mail:</t>
  </si>
  <si>
    <t>Single-Piece Letters</t>
  </si>
  <si>
    <t>Presort Letters</t>
  </si>
  <si>
    <t>Automation Letters</t>
  </si>
  <si>
    <t xml:space="preserve">   Domestic NSA Mail (Auto Letters)</t>
  </si>
  <si>
    <t>Total Letters</t>
  </si>
  <si>
    <t>Single-Piece Flats</t>
  </si>
  <si>
    <t>Presort Flats</t>
  </si>
  <si>
    <t>Automation Flats</t>
  </si>
  <si>
    <t xml:space="preserve">Total Flats </t>
  </si>
  <si>
    <r>
      <t xml:space="preserve">Single-Piece </t>
    </r>
    <r>
      <rPr>
        <sz val="12"/>
        <color indexed="10"/>
        <rFont val="Arial"/>
        <family val="2"/>
      </rPr>
      <t>Retail</t>
    </r>
    <r>
      <rPr>
        <sz val="12"/>
        <rFont val="Arial"/>
        <family val="2"/>
      </rPr>
      <t xml:space="preserve"> Parcels</t>
    </r>
  </si>
  <si>
    <t>Presort Parcels [1]</t>
  </si>
  <si>
    <t>Total Parcels</t>
  </si>
  <si>
    <t>Total Letters, Flats &amp; Parcels</t>
  </si>
  <si>
    <t>Single-Piece Cards</t>
  </si>
  <si>
    <t>Presort Cards</t>
  </si>
  <si>
    <t>Automation Cards</t>
  </si>
  <si>
    <t>Total Cards</t>
  </si>
  <si>
    <t>Total Domestic First-Class Mail</t>
  </si>
  <si>
    <t>International First-Class Mail:</t>
  </si>
  <si>
    <t>Outbound Single-Piece Letters</t>
  </si>
  <si>
    <t>Outbound Single-Piece Flats</t>
  </si>
  <si>
    <t>Outbound Single-Piece Parcels</t>
  </si>
  <si>
    <t>Total Outbound Single-Piece Ltrs, Flts, Prcls</t>
  </si>
  <si>
    <t>Outbound Single-Piece Cards</t>
  </si>
  <si>
    <t>Inbound Single-Piece Surface LC/AO</t>
  </si>
  <si>
    <t>Inbound Single-Piece Air LC/AO</t>
  </si>
  <si>
    <t xml:space="preserve">  Inbound Intl. Negotiated Serv. Agreement Mail</t>
  </si>
  <si>
    <t>Total Inbound Single-Piece Mail</t>
  </si>
  <si>
    <t>Total International First-Class Mail</t>
  </si>
  <si>
    <t>Total First-Class Mail</t>
  </si>
  <si>
    <t>Standard Mail:</t>
  </si>
  <si>
    <t>ECR and NECR:</t>
  </si>
  <si>
    <t>ECR Letters:</t>
  </si>
  <si>
    <t>High Density (HD)</t>
  </si>
  <si>
    <t xml:space="preserve">Saturation </t>
  </si>
  <si>
    <t>Total ECR HD &amp; Saturation Letters</t>
  </si>
  <si>
    <t>NECR Letters:</t>
  </si>
  <si>
    <t>Saturation</t>
  </si>
  <si>
    <t>Total NECR HD &amp; Saturation Letters</t>
  </si>
  <si>
    <t>Total High Density &amp; Saturation Letters</t>
  </si>
  <si>
    <t>ECR Flats &amp; Parcels:</t>
  </si>
  <si>
    <t>High Density (HD) Flats</t>
  </si>
  <si>
    <t xml:space="preserve">Saturation Flats </t>
  </si>
  <si>
    <t>Total ECR HD &amp; Saturation Flats</t>
  </si>
  <si>
    <t>High Density (HD) Parcels</t>
  </si>
  <si>
    <t>Saturation Parcels</t>
  </si>
  <si>
    <t>Total ECR HD &amp; Saturation Parcels</t>
  </si>
  <si>
    <t>Total ECR HD &amp; Saturation Flats &amp; Parcels</t>
  </si>
  <si>
    <t>NECR Flats &amp; Parcels:</t>
  </si>
  <si>
    <t>Total NECR HD &amp; Saturation Flats</t>
  </si>
  <si>
    <t>Total NECR HD &amp; Saturation Parcels</t>
  </si>
  <si>
    <t>Total NECR HD &amp; Saturation Flats &amp; Parcels</t>
  </si>
  <si>
    <t>Total High Density &amp; Saturation Flats &amp; Parcels</t>
  </si>
  <si>
    <t>Regular Carrier Route:</t>
  </si>
  <si>
    <t>Basic Letters</t>
  </si>
  <si>
    <t>Basic Flats</t>
  </si>
  <si>
    <t>Basic Parcels</t>
  </si>
  <si>
    <t>Total Regular Carrier Route</t>
  </si>
  <si>
    <t>Nonprofit Carrier Route:</t>
  </si>
  <si>
    <t>Total Nonprofit Carrier Route</t>
  </si>
  <si>
    <t>Total Carrier Route</t>
  </si>
  <si>
    <t xml:space="preserve">Total Enhanced Carrier Route (ECR) </t>
  </si>
  <si>
    <t xml:space="preserve">Total Nonprofit ECR (NECR) </t>
  </si>
  <si>
    <t>Total ECR and NECR</t>
  </si>
  <si>
    <t>Regular and Nonprofit:</t>
  </si>
  <si>
    <t>Regular Letters:</t>
  </si>
  <si>
    <t>Nonautomation</t>
  </si>
  <si>
    <t>Automation</t>
  </si>
  <si>
    <t>Total Regular Letters</t>
  </si>
  <si>
    <t>Nonprofit Letters:</t>
  </si>
  <si>
    <t>Total Nonprofit Letters</t>
  </si>
  <si>
    <t>Regular Flats:</t>
  </si>
  <si>
    <t>Total Regular Flats</t>
  </si>
  <si>
    <t>Nonprofit Flats:</t>
  </si>
  <si>
    <t>Total Nonprofit Flats</t>
  </si>
  <si>
    <t>Total Flats</t>
  </si>
  <si>
    <t xml:space="preserve">   Not Flat-Machinables and Parcels:</t>
  </si>
  <si>
    <t>Regular Parcels</t>
  </si>
  <si>
    <t>Regular Not Flat-Machinables</t>
  </si>
  <si>
    <t xml:space="preserve">   Total Regular Not Flat-Machinables &amp; Parcels</t>
  </si>
  <si>
    <t>Nonprofit Parcels</t>
  </si>
  <si>
    <t>Nonprofit Not Flat-Machinables</t>
  </si>
  <si>
    <t xml:space="preserve">   Total Nonprofit Not Flat-Machinables &amp; Parcels</t>
  </si>
  <si>
    <t xml:space="preserve">   Total Not Flat-Machinables and Parcels</t>
  </si>
  <si>
    <t>Total Regular</t>
  </si>
  <si>
    <t xml:space="preserve">Total Nonprofit </t>
  </si>
  <si>
    <t>Total Regular and Nonprofit</t>
  </si>
  <si>
    <t xml:space="preserve">   Domestic Negotiated Serv. Agreement Mail</t>
  </si>
  <si>
    <t xml:space="preserve">   Inbound Intl. Negotiated Serv. Agreement Mail</t>
  </si>
  <si>
    <t xml:space="preserve">Total Standard Mail </t>
  </si>
  <si>
    <t>Periodicals:</t>
  </si>
  <si>
    <t>Within County</t>
  </si>
  <si>
    <t>Outside County:</t>
  </si>
  <si>
    <t>Regular Rate</t>
  </si>
  <si>
    <t>Nonprofit</t>
  </si>
  <si>
    <t>Classroom</t>
  </si>
  <si>
    <t>Total Outside County</t>
  </si>
  <si>
    <t>Total Periodicals</t>
  </si>
  <si>
    <t>Single-Piece Parcel Post</t>
  </si>
  <si>
    <t>Inbound Surface Parcel Post (at UPU Rates)</t>
  </si>
  <si>
    <t>Inbound Intl. Negotiated Serv. Agreement Mail</t>
  </si>
  <si>
    <t>Total Single-Piece International Parcel Post</t>
  </si>
  <si>
    <t>Bound Printed Matter (BPM):</t>
  </si>
  <si>
    <t>BPM Flats:</t>
  </si>
  <si>
    <t>Nonpresorted</t>
  </si>
  <si>
    <t xml:space="preserve">Presorted </t>
  </si>
  <si>
    <t>Carrier Route</t>
  </si>
  <si>
    <t>Workshared BPM Flats</t>
  </si>
  <si>
    <t>Total BPM Flats</t>
  </si>
  <si>
    <t>BPM Parcels:</t>
  </si>
  <si>
    <t>Total BPM Parcels</t>
  </si>
  <si>
    <t>Total BPM</t>
  </si>
  <si>
    <t>Media Mail:</t>
  </si>
  <si>
    <t xml:space="preserve">Single Piece </t>
  </si>
  <si>
    <t>Total Media Mail</t>
  </si>
  <si>
    <t>Library Rate:</t>
  </si>
  <si>
    <t>Total Library Rate</t>
  </si>
  <si>
    <t>Media and Library Mail</t>
  </si>
  <si>
    <t xml:space="preserve">Total Package Services </t>
  </si>
  <si>
    <t>Total Market Dominant Mail</t>
  </si>
  <si>
    <t>1 There are no Presort Parcels left on the Market Dominant side</t>
  </si>
  <si>
    <t xml:space="preserve">Business Reply Service </t>
  </si>
  <si>
    <t>Certificates of Mailing - Basic</t>
  </si>
  <si>
    <t>Certificates of Mailing - Firm Mailing Book</t>
  </si>
  <si>
    <t>Certificates of Mailing - Bulk</t>
  </si>
  <si>
    <t xml:space="preserve">Merchandise Return Service </t>
  </si>
  <si>
    <t xml:space="preserve">Postage Due </t>
  </si>
  <si>
    <t xml:space="preserve">Application and Mailing Permits </t>
  </si>
  <si>
    <t xml:space="preserve">Total Domestic First-Class Mail Fees </t>
  </si>
  <si>
    <t>N/A</t>
  </si>
  <si>
    <t>Single-Piece Parcels</t>
  </si>
  <si>
    <t>Presort Parcels</t>
  </si>
  <si>
    <t xml:space="preserve">Bulk Parcel Return Service </t>
  </si>
  <si>
    <t xml:space="preserve">Address Correction Services </t>
  </si>
  <si>
    <t>Application and Mailing Permits - Reg</t>
  </si>
  <si>
    <t>Application and Mailing Permits - Non-Profit</t>
  </si>
  <si>
    <t xml:space="preserve">Address Services </t>
  </si>
  <si>
    <t>Media Mail Presort Permits</t>
  </si>
  <si>
    <t>BPM Presort Permits</t>
  </si>
  <si>
    <t xml:space="preserve">Parcel Airlift Service </t>
  </si>
  <si>
    <t xml:space="preserve">Total Package Services Fees </t>
  </si>
  <si>
    <t>Special Handling</t>
  </si>
  <si>
    <t>Address Correction Services (ACS)</t>
  </si>
  <si>
    <t>Application and Mailing Permits</t>
  </si>
  <si>
    <t>Postage Due</t>
  </si>
  <si>
    <t>Total Domestic First-Class Mail Fees</t>
  </si>
  <si>
    <t>International First-Class Mail Fees:</t>
  </si>
  <si>
    <t>Inbound International Business Reply Service</t>
  </si>
  <si>
    <t>Certificates of Mailing International</t>
  </si>
  <si>
    <t>Postage Due Foreign Origin Surface LC/AO</t>
  </si>
  <si>
    <t>Postage Due Foreign Origin Air LC/AO</t>
  </si>
  <si>
    <t>Postage Due First-Class International (Return Mail)</t>
  </si>
  <si>
    <t>Total International First-Class Mail Fees</t>
  </si>
  <si>
    <t>Total First-Class Mail Fees</t>
  </si>
  <si>
    <t>Standard Mail Fees:</t>
  </si>
  <si>
    <t>Bulk Parcel Return Service</t>
  </si>
  <si>
    <t>Address Correction Services</t>
  </si>
  <si>
    <t>Total Standard Mail Fees</t>
  </si>
  <si>
    <t>Periodicals Fees:</t>
  </si>
  <si>
    <t>Address Services</t>
  </si>
  <si>
    <t>Total Periodicals Fees</t>
  </si>
  <si>
    <t>Package Services Fees:</t>
  </si>
  <si>
    <t>Parcel Airlift Service</t>
  </si>
  <si>
    <t>Total Package Services Fees</t>
  </si>
  <si>
    <t>Market Dominant Mail Fees</t>
  </si>
  <si>
    <t>PRC</t>
  </si>
  <si>
    <t>USPS</t>
  </si>
  <si>
    <t>FY 2010</t>
  </si>
  <si>
    <t>% of Total</t>
  </si>
  <si>
    <t>FY 2012</t>
  </si>
  <si>
    <t>Postage Due PMI</t>
  </si>
  <si>
    <t>Postage Due Foreign Origin Air</t>
  </si>
  <si>
    <t>Postage Due Foreign Origin Surface</t>
  </si>
  <si>
    <t>Certificate of Mailing</t>
  </si>
  <si>
    <t>Workshared BPM Parcels</t>
  </si>
  <si>
    <t>Docket No. ACR 2013</t>
  </si>
  <si>
    <t>FY 2013 Mailing Fees Distribution to Competitive Mail</t>
  </si>
  <si>
    <t>RPW check</t>
  </si>
  <si>
    <t>First Class Picture Permit (NEW)</t>
  </si>
  <si>
    <t xml:space="preserve">Total </t>
  </si>
  <si>
    <t>Every Door Direct Mail (NEW)</t>
  </si>
  <si>
    <t>FY 2013 Mailing Fees Distribution to Market Dominant Mail</t>
  </si>
  <si>
    <t>Domestic First Class Mail Fees</t>
  </si>
  <si>
    <t>International First Class Mail Fees</t>
  </si>
  <si>
    <t>Missing</t>
  </si>
  <si>
    <t>Total Single Piece Letters</t>
  </si>
  <si>
    <t>Total Single Piece Cards</t>
  </si>
  <si>
    <t>Single Piece Flats</t>
  </si>
  <si>
    <t>Parcels</t>
  </si>
  <si>
    <t>First-Class NSAs</t>
  </si>
  <si>
    <t>Total First Class Mail FEES</t>
  </si>
  <si>
    <t>RPW</t>
  </si>
  <si>
    <t>difference</t>
  </si>
  <si>
    <t>FEE Distribution</t>
  </si>
  <si>
    <t xml:space="preserve">Dist </t>
  </si>
  <si>
    <t>Auto Flats</t>
  </si>
  <si>
    <t xml:space="preserve">    High Density and Saturation Letters</t>
  </si>
  <si>
    <t xml:space="preserve">    High Density and Saturation Flats and Parcels</t>
  </si>
  <si>
    <t xml:space="preserve">    Every Door Direct Mail Retail</t>
  </si>
  <si>
    <t xml:space="preserve">    Carrier Route</t>
  </si>
  <si>
    <t xml:space="preserve">    Letters</t>
  </si>
  <si>
    <t xml:space="preserve">    Flats</t>
  </si>
  <si>
    <t xml:space="preserve">    Parcels</t>
  </si>
  <si>
    <t xml:space="preserve">    Standard Mail NSAs</t>
  </si>
  <si>
    <t xml:space="preserve">    Inbound Intl. NSA</t>
  </si>
  <si>
    <t>volume</t>
  </si>
  <si>
    <t>FEE</t>
  </si>
  <si>
    <t>FEE D1</t>
  </si>
  <si>
    <t>Final Fee Dist</t>
  </si>
  <si>
    <t>Outside County</t>
  </si>
  <si>
    <t>TOT</t>
  </si>
  <si>
    <t xml:space="preserve">    Alaska Bypass</t>
  </si>
  <si>
    <t xml:space="preserve">    Parcel Post</t>
  </si>
  <si>
    <t xml:space="preserve">    Bound Printed Matter Flats</t>
  </si>
  <si>
    <t xml:space="preserve">    Bound Printed Matter Parcels</t>
  </si>
  <si>
    <t xml:space="preserve">    Media and Library Mail</t>
  </si>
  <si>
    <t>PS fees to be distributed</t>
  </si>
  <si>
    <t>CHIR 7</t>
  </si>
  <si>
    <t>CHIR</t>
  </si>
  <si>
    <t>missing</t>
  </si>
  <si>
    <t>CHIR dist</t>
  </si>
  <si>
    <t>Adjusted CHIR Fee Distribution</t>
  </si>
  <si>
    <t>CHIR FEE Distribution</t>
  </si>
  <si>
    <t>adjust</t>
  </si>
  <si>
    <t>USPS Fee</t>
  </si>
  <si>
    <t>Final CHIR FEE</t>
  </si>
  <si>
    <t>Alaska Bypass</t>
  </si>
  <si>
    <t>Parcel Post</t>
  </si>
  <si>
    <t>Bound Printed Matter Flats</t>
  </si>
  <si>
    <t>Bound Printed Matter Parcels</t>
  </si>
  <si>
    <t>Total Domestic Package Services</t>
  </si>
  <si>
    <t>Total International Package Services</t>
  </si>
  <si>
    <t>CHIR Fee Distribution</t>
  </si>
  <si>
    <t>adj factor</t>
  </si>
  <si>
    <t>adj</t>
  </si>
  <si>
    <t>FINAL</t>
  </si>
  <si>
    <t>Non 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</si>
</sst>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3" formatCode="_(* #,##0.00_);_(* \(#,##0.00\);_(* &quot;-&quot;??_);_(@_)"/>
    <numFmt numFmtId="164" formatCode="###,##0"/>
    <numFmt numFmtId="165" formatCode="_(* #,##0_);_(* \(#,##0\);_(* &quot;-&quot;??_);_(@_)"/>
    <numFmt numFmtId="166" formatCode="###,##0.000"/>
    <numFmt numFmtId="167" formatCode="#,##0.000_);\(#,##0.000\)"/>
    <numFmt numFmtId="168" formatCode="#,##0.0"/>
    <numFmt numFmtId="169" formatCode="_(* #,##0.000_);_(* \(#,##0.000\);_(* &quot;-&quot;??_);_(@_)"/>
    <numFmt numFmtId="170" formatCode="0.0%"/>
    <numFmt numFmtId="171" formatCode="0.000%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color indexed="8"/>
      <name val="Arial"/>
      <family val="2"/>
    </font>
    <font>
      <sz val="11"/>
      <name val="Calibri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rgb="FFFF0000"/>
      <name val="Arial"/>
      <family val="2"/>
    </font>
    <font>
      <sz val="11"/>
      <color indexed="8"/>
      <name val="Calibri"/>
      <family val="2"/>
    </font>
    <font>
      <sz val="12"/>
      <color indexed="10"/>
      <name val="Arial"/>
      <family val="2"/>
    </font>
    <font>
      <sz val="12"/>
      <name val="Calibri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name val="Arial"/>
      <family val="2"/>
    </font>
    <font>
      <sz val="12"/>
      <color theme="0" tint="-0.34998626667073579"/>
      <name val="Arial"/>
      <family val="2"/>
    </font>
    <font>
      <sz val="12"/>
      <color theme="0" tint="-0.1499984740745262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54">
    <xf numFmtId="0" fontId="0" fillId="0" borderId="0" xfId="0"/>
    <xf numFmtId="0" fontId="2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 wrapText="1"/>
    </xf>
    <xf numFmtId="3" fontId="2" fillId="0" borderId="0" xfId="1" applyNumberFormat="1" applyFont="1"/>
    <xf numFmtId="3" fontId="2" fillId="0" borderId="0" xfId="1" applyNumberFormat="1" applyFont="1" applyAlignment="1">
      <alignment horizontal="center"/>
    </xf>
    <xf numFmtId="0" fontId="3" fillId="0" borderId="0" xfId="1" applyFont="1"/>
    <xf numFmtId="0" fontId="2" fillId="0" borderId="0" xfId="1" applyNumberFormat="1" applyFont="1" applyAlignment="1">
      <alignment horizontal="left" indent="2"/>
    </xf>
    <xf numFmtId="165" fontId="2" fillId="0" borderId="0" xfId="2" applyNumberFormat="1" applyFont="1"/>
    <xf numFmtId="165" fontId="2" fillId="0" borderId="0" xfId="1" applyNumberFormat="1" applyFont="1"/>
    <xf numFmtId="0" fontId="2" fillId="0" borderId="0" xfId="1" applyFont="1" applyAlignment="1">
      <alignment horizontal="left" indent="2"/>
    </xf>
    <xf numFmtId="164" fontId="2" fillId="0" borderId="0" xfId="1" applyNumberFormat="1" applyFont="1" applyBorder="1"/>
    <xf numFmtId="165" fontId="2" fillId="0" borderId="1" xfId="1" applyNumberFormat="1" applyFont="1" applyBorder="1"/>
    <xf numFmtId="0" fontId="3" fillId="0" borderId="0" xfId="1" applyNumberFormat="1" applyFont="1" applyAlignment="1">
      <alignment horizontal="left" indent="2"/>
    </xf>
    <xf numFmtId="0" fontId="2" fillId="0" borderId="0" xfId="1" applyFont="1" applyBorder="1"/>
    <xf numFmtId="0" fontId="4" fillId="0" borderId="0" xfId="1" applyFont="1" applyBorder="1" applyAlignment="1">
      <alignment horizontal="left" indent="3"/>
    </xf>
    <xf numFmtId="0" fontId="6" fillId="0" borderId="0" xfId="1" applyFont="1"/>
    <xf numFmtId="0" fontId="7" fillId="0" borderId="0" xfId="0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8" fillId="0" borderId="0" xfId="0" applyFont="1"/>
    <xf numFmtId="0" fontId="4" fillId="0" borderId="0" xfId="0" applyNumberFormat="1" applyFont="1" applyAlignment="1">
      <alignment horizontal="centerContinuous"/>
    </xf>
    <xf numFmtId="0" fontId="5" fillId="0" borderId="0" xfId="0" applyFont="1"/>
    <xf numFmtId="0" fontId="4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0" xfId="0" applyFont="1"/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indent="1"/>
    </xf>
    <xf numFmtId="0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indent="2"/>
    </xf>
    <xf numFmtId="0" fontId="4" fillId="0" borderId="0" xfId="0" applyNumberFormat="1" applyFont="1" applyAlignment="1">
      <alignment horizontal="left" indent="2"/>
    </xf>
    <xf numFmtId="164" fontId="11" fillId="0" borderId="0" xfId="0" applyNumberFormat="1" applyFont="1"/>
    <xf numFmtId="0" fontId="5" fillId="0" borderId="0" xfId="0" applyFont="1" applyAlignment="1">
      <alignment horizontal="left" indent="1"/>
    </xf>
    <xf numFmtId="0" fontId="4" fillId="0" borderId="0" xfId="0" applyFont="1" applyAlignment="1">
      <alignment horizontal="left" indent="2"/>
    </xf>
    <xf numFmtId="3" fontId="11" fillId="0" borderId="0" xfId="0" applyNumberFormat="1" applyFont="1" applyFill="1" applyBorder="1"/>
    <xf numFmtId="0" fontId="4" fillId="0" borderId="0" xfId="0" applyFont="1" applyAlignment="1">
      <alignment horizontal="left" indent="1"/>
    </xf>
    <xf numFmtId="0" fontId="12" fillId="0" borderId="0" xfId="0" applyFont="1" applyFill="1" applyBorder="1"/>
    <xf numFmtId="0" fontId="4" fillId="0" borderId="0" xfId="0" applyFont="1" applyBorder="1" applyAlignment="1">
      <alignment horizontal="left" indent="3"/>
    </xf>
    <xf numFmtId="0" fontId="14" fillId="0" borderId="0" xfId="0" applyFont="1"/>
    <xf numFmtId="0" fontId="3" fillId="0" borderId="0" xfId="0" applyFont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15" fillId="0" borderId="0" xfId="0" applyFont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2" fillId="0" borderId="0" xfId="0" applyFont="1" applyFill="1" applyAlignment="1">
      <alignment horizontal="left" indent="1"/>
    </xf>
    <xf numFmtId="3" fontId="2" fillId="0" borderId="0" xfId="0" applyNumberFormat="1" applyFont="1"/>
    <xf numFmtId="0" fontId="2" fillId="0" borderId="0" xfId="0" applyFont="1" applyFill="1"/>
    <xf numFmtId="3" fontId="2" fillId="0" borderId="1" xfId="0" applyNumberFormat="1" applyFont="1" applyBorder="1"/>
    <xf numFmtId="0" fontId="3" fillId="0" borderId="0" xfId="0" applyFont="1" applyFill="1" applyAlignment="1">
      <alignment horizontal="left" indent="2"/>
    </xf>
    <xf numFmtId="0" fontId="3" fillId="0" borderId="0" xfId="0" applyFont="1" applyFill="1" applyAlignment="1">
      <alignment horizontal="left" indent="3"/>
    </xf>
    <xf numFmtId="0" fontId="2" fillId="0" borderId="0" xfId="0" applyFont="1" applyAlignment="1">
      <alignment horizontal="left"/>
    </xf>
    <xf numFmtId="0" fontId="3" fillId="0" borderId="0" xfId="0" applyFont="1" applyFill="1" applyAlignment="1">
      <alignment horizontal="left" indent="4"/>
    </xf>
    <xf numFmtId="3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3" fillId="0" borderId="0" xfId="0" applyFont="1" applyAlignment="1">
      <alignment horizontal="left" indent="2"/>
    </xf>
    <xf numFmtId="37" fontId="8" fillId="0" borderId="0" xfId="0" applyNumberFormat="1" applyFont="1" applyFill="1" applyBorder="1"/>
    <xf numFmtId="0" fontId="3" fillId="0" borderId="0" xfId="0" applyFont="1" applyAlignment="1">
      <alignment horizontal="left" indent="3"/>
    </xf>
    <xf numFmtId="0" fontId="2" fillId="0" borderId="0" xfId="0" applyFont="1"/>
    <xf numFmtId="0" fontId="3" fillId="0" borderId="0" xfId="0" applyNumberFormat="1" applyFont="1" applyAlignment="1"/>
    <xf numFmtId="0" fontId="2" fillId="0" borderId="0" xfId="0" applyNumberFormat="1" applyFont="1" applyAlignment="1">
      <alignment horizontal="left" indent="1"/>
    </xf>
    <xf numFmtId="0" fontId="3" fillId="0" borderId="0" xfId="0" applyNumberFormat="1" applyFont="1" applyAlignment="1">
      <alignment horizontal="left" indent="1"/>
    </xf>
    <xf numFmtId="0" fontId="2" fillId="0" borderId="0" xfId="0" applyNumberFormat="1" applyFont="1" applyAlignment="1">
      <alignment horizontal="left" indent="2"/>
    </xf>
    <xf numFmtId="3" fontId="8" fillId="0" borderId="0" xfId="0" applyNumberFormat="1" applyFont="1"/>
    <xf numFmtId="0" fontId="2" fillId="0" borderId="0" xfId="0" applyFont="1" applyAlignment="1">
      <alignment horizontal="left" indent="1"/>
    </xf>
    <xf numFmtId="0" fontId="3" fillId="0" borderId="0" xfId="0" applyNumberFormat="1" applyFont="1" applyAlignment="1">
      <alignment horizontal="left" indent="2"/>
    </xf>
    <xf numFmtId="0" fontId="3" fillId="0" borderId="0" xfId="0" applyFont="1" applyAlignment="1">
      <alignment horizontal="left" indent="4"/>
    </xf>
    <xf numFmtId="0" fontId="3" fillId="0" borderId="0" xfId="0" applyFont="1" applyAlignment="1">
      <alignment horizontal="left" indent="5"/>
    </xf>
    <xf numFmtId="0" fontId="2" fillId="0" borderId="0" xfId="1" applyFont="1" applyFill="1"/>
    <xf numFmtId="0" fontId="3" fillId="0" borderId="0" xfId="1" applyFont="1" applyAlignment="1">
      <alignment horizontal="center" wrapText="1"/>
    </xf>
    <xf numFmtId="0" fontId="3" fillId="0" borderId="0" xfId="1" applyFont="1" applyFill="1" applyAlignment="1">
      <alignment horizontal="center" wrapText="1"/>
    </xf>
    <xf numFmtId="165" fontId="2" fillId="0" borderId="0" xfId="2" applyNumberFormat="1" applyFont="1" applyFill="1"/>
    <xf numFmtId="3" fontId="2" fillId="0" borderId="0" xfId="1" applyNumberFormat="1" applyFont="1" applyFill="1"/>
    <xf numFmtId="3" fontId="2" fillId="0" borderId="0" xfId="1" applyNumberFormat="1" applyFont="1" applyFill="1" applyAlignment="1">
      <alignment horizontal="center"/>
    </xf>
    <xf numFmtId="3" fontId="18" fillId="0" borderId="0" xfId="1" applyNumberFormat="1" applyFont="1"/>
    <xf numFmtId="165" fontId="2" fillId="0" borderId="0" xfId="2" applyNumberFormat="1" applyFont="1" applyFill="1" applyAlignment="1">
      <alignment horizontal="center"/>
    </xf>
    <xf numFmtId="165" fontId="2" fillId="0" borderId="0" xfId="2" applyNumberFormat="1" applyFont="1" applyAlignment="1">
      <alignment horizontal="center"/>
    </xf>
    <xf numFmtId="0" fontId="2" fillId="0" borderId="0" xfId="1" applyFont="1" applyFill="1" applyAlignment="1">
      <alignment horizontal="center"/>
    </xf>
    <xf numFmtId="165" fontId="18" fillId="0" borderId="0" xfId="2" applyNumberFormat="1" applyFont="1"/>
    <xf numFmtId="3" fontId="2" fillId="0" borderId="1" xfId="1" applyNumberFormat="1" applyFont="1" applyBorder="1"/>
    <xf numFmtId="165" fontId="18" fillId="0" borderId="0" xfId="1" applyNumberFormat="1" applyFont="1"/>
    <xf numFmtId="0" fontId="2" fillId="0" borderId="0" xfId="1" applyFont="1" applyAlignment="1">
      <alignment horizontal="center"/>
    </xf>
    <xf numFmtId="165" fontId="2" fillId="0" borderId="2" xfId="2" applyNumberFormat="1" applyFont="1" applyBorder="1"/>
    <xf numFmtId="165" fontId="2" fillId="0" borderId="2" xfId="2" applyNumberFormat="1" applyFont="1" applyFill="1" applyBorder="1"/>
    <xf numFmtId="3" fontId="18" fillId="0" borderId="1" xfId="1" applyNumberFormat="1" applyFont="1" applyBorder="1"/>
    <xf numFmtId="0" fontId="11" fillId="0" borderId="6" xfId="1" applyFont="1" applyFill="1" applyBorder="1"/>
    <xf numFmtId="0" fontId="1" fillId="0" borderId="6" xfId="1" applyFont="1" applyFill="1" applyBorder="1" applyAlignment="1">
      <alignment horizontal="left" indent="1"/>
    </xf>
    <xf numFmtId="0" fontId="11" fillId="0" borderId="6" xfId="1" applyFont="1" applyFill="1" applyBorder="1" applyAlignment="1">
      <alignment horizontal="left" indent="2"/>
    </xf>
    <xf numFmtId="0" fontId="1" fillId="0" borderId="6" xfId="1" applyFont="1" applyBorder="1" applyAlignment="1">
      <alignment horizontal="left"/>
    </xf>
    <xf numFmtId="0" fontId="11" fillId="0" borderId="6" xfId="1" applyFont="1" applyFill="1" applyBorder="1" applyAlignment="1">
      <alignment horizontal="left" indent="3"/>
    </xf>
    <xf numFmtId="165" fontId="2" fillId="0" borderId="0" xfId="1" applyNumberFormat="1" applyFont="1" applyFill="1"/>
    <xf numFmtId="0" fontId="3" fillId="0" borderId="0" xfId="1" applyFont="1" applyAlignment="1">
      <alignment horizontal="left" indent="1"/>
    </xf>
    <xf numFmtId="37" fontId="18" fillId="0" borderId="0" xfId="1" applyNumberFormat="1" applyFont="1" applyFill="1"/>
    <xf numFmtId="165" fontId="2" fillId="0" borderId="1" xfId="2" applyNumberFormat="1" applyFont="1" applyBorder="1"/>
    <xf numFmtId="0" fontId="3" fillId="0" borderId="0" xfId="1" applyFont="1" applyAlignment="1">
      <alignment horizontal="left" indent="2"/>
    </xf>
    <xf numFmtId="0" fontId="18" fillId="0" borderId="0" xfId="1" applyFont="1" applyFill="1"/>
    <xf numFmtId="37" fontId="18" fillId="0" borderId="3" xfId="1" applyNumberFormat="1" applyFont="1" applyFill="1" applyBorder="1"/>
    <xf numFmtId="165" fontId="2" fillId="0" borderId="2" xfId="1" applyNumberFormat="1" applyFont="1" applyBorder="1"/>
    <xf numFmtId="37" fontId="18" fillId="0" borderId="4" xfId="1" applyNumberFormat="1" applyFont="1" applyFill="1" applyBorder="1"/>
    <xf numFmtId="37" fontId="18" fillId="0" borderId="2" xfId="1" applyNumberFormat="1" applyFont="1" applyFill="1" applyBorder="1"/>
    <xf numFmtId="0" fontId="3" fillId="0" borderId="0" xfId="1" applyFont="1" applyAlignment="1">
      <alignment horizontal="left" indent="3"/>
    </xf>
    <xf numFmtId="37" fontId="18" fillId="0" borderId="5" xfId="1" applyNumberFormat="1" applyFont="1" applyFill="1" applyBorder="1"/>
    <xf numFmtId="5" fontId="2" fillId="0" borderId="0" xfId="1" applyNumberFormat="1" applyFont="1" applyProtection="1"/>
    <xf numFmtId="37" fontId="2" fillId="0" borderId="0" xfId="1" applyNumberFormat="1" applyFont="1" applyFill="1" applyProtection="1"/>
    <xf numFmtId="7" fontId="2" fillId="0" borderId="0" xfId="1" applyNumberFormat="1" applyFont="1"/>
    <xf numFmtId="4" fontId="2" fillId="0" borderId="0" xfId="1" applyNumberFormat="1" applyFont="1"/>
    <xf numFmtId="0" fontId="3" fillId="0" borderId="0" xfId="1" applyNumberFormat="1" applyFont="1" applyAlignment="1"/>
    <xf numFmtId="0" fontId="2" fillId="0" borderId="0" xfId="1" applyNumberFormat="1" applyFont="1" applyAlignment="1">
      <alignment horizontal="left" indent="1"/>
    </xf>
    <xf numFmtId="0" fontId="3" fillId="0" borderId="0" xfId="1" applyNumberFormat="1" applyFont="1" applyAlignment="1">
      <alignment horizontal="left" indent="1"/>
    </xf>
    <xf numFmtId="0" fontId="1" fillId="0" borderId="0" xfId="1"/>
    <xf numFmtId="0" fontId="2" fillId="0" borderId="0" xfId="1" applyFont="1" applyAlignment="1">
      <alignment horizontal="left" indent="1"/>
    </xf>
    <xf numFmtId="0" fontId="3" fillId="0" borderId="0" xfId="1" applyFont="1" applyAlignment="1">
      <alignment horizontal="left" indent="4"/>
    </xf>
    <xf numFmtId="0" fontId="3" fillId="0" borderId="0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166" fontId="10" fillId="0" borderId="0" xfId="0" applyNumberFormat="1" applyFont="1"/>
    <xf numFmtId="166" fontId="11" fillId="0" borderId="0" xfId="0" applyNumberFormat="1" applyFont="1"/>
    <xf numFmtId="166" fontId="8" fillId="0" borderId="0" xfId="0" applyNumberFormat="1" applyFont="1"/>
    <xf numFmtId="166" fontId="10" fillId="0" borderId="0" xfId="0" applyNumberFormat="1" applyFont="1" applyFill="1" applyBorder="1"/>
    <xf numFmtId="166" fontId="11" fillId="0" borderId="0" xfId="0" applyNumberFormat="1" applyFont="1" applyFill="1" applyBorder="1"/>
    <xf numFmtId="3" fontId="2" fillId="0" borderId="0" xfId="1" applyNumberFormat="1" applyFont="1" applyBorder="1" applyAlignment="1">
      <alignment horizontal="center"/>
    </xf>
    <xf numFmtId="165" fontId="2" fillId="0" borderId="0" xfId="2" applyNumberFormat="1" applyFont="1" applyBorder="1"/>
    <xf numFmtId="3" fontId="2" fillId="0" borderId="0" xfId="0" applyNumberFormat="1" applyFont="1" applyBorder="1"/>
    <xf numFmtId="165" fontId="2" fillId="0" borderId="0" xfId="4" applyNumberFormat="1" applyFont="1" applyBorder="1"/>
    <xf numFmtId="0" fontId="8" fillId="0" borderId="0" xfId="0" applyFont="1" applyBorder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3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left" indent="2"/>
    </xf>
    <xf numFmtId="0" fontId="3" fillId="0" borderId="0" xfId="0" applyFont="1" applyBorder="1" applyAlignment="1">
      <alignment horizontal="left" indent="2"/>
    </xf>
    <xf numFmtId="0" fontId="8" fillId="0" borderId="0" xfId="0" applyFont="1" applyFill="1" applyBorder="1"/>
    <xf numFmtId="0" fontId="3" fillId="0" borderId="0" xfId="0" applyFont="1" applyBorder="1" applyAlignment="1">
      <alignment horizontal="left" indent="3"/>
    </xf>
    <xf numFmtId="0" fontId="2" fillId="0" borderId="0" xfId="0" applyFont="1" applyBorder="1"/>
    <xf numFmtId="0" fontId="3" fillId="0" borderId="0" xfId="0" applyNumberFormat="1" applyFont="1" applyBorder="1" applyAlignment="1"/>
    <xf numFmtId="0" fontId="2" fillId="0" borderId="0" xfId="0" applyNumberFormat="1" applyFont="1" applyBorder="1" applyAlignment="1">
      <alignment horizontal="left" indent="1"/>
    </xf>
    <xf numFmtId="0" fontId="3" fillId="0" borderId="0" xfId="0" applyNumberFormat="1" applyFont="1" applyBorder="1" applyAlignment="1">
      <alignment horizontal="left" indent="1"/>
    </xf>
    <xf numFmtId="0" fontId="2" fillId="0" borderId="0" xfId="0" applyNumberFormat="1" applyFont="1" applyBorder="1" applyAlignment="1">
      <alignment horizontal="left" indent="2"/>
    </xf>
    <xf numFmtId="0" fontId="2" fillId="0" borderId="0" xfId="0" applyFont="1" applyBorder="1" applyAlignment="1">
      <alignment horizontal="left" indent="1"/>
    </xf>
    <xf numFmtId="0" fontId="3" fillId="0" borderId="0" xfId="0" applyNumberFormat="1" applyFont="1" applyBorder="1" applyAlignment="1">
      <alignment horizontal="left" indent="2"/>
    </xf>
    <xf numFmtId="0" fontId="3" fillId="0" borderId="0" xfId="0" applyFont="1" applyBorder="1" applyAlignment="1">
      <alignment horizontal="left" indent="4"/>
    </xf>
    <xf numFmtId="0" fontId="3" fillId="0" borderId="0" xfId="0" applyFont="1" applyBorder="1" applyAlignment="1">
      <alignment horizontal="left" indent="5"/>
    </xf>
    <xf numFmtId="3" fontId="8" fillId="0" borderId="0" xfId="0" applyNumberFormat="1" applyFont="1" applyBorder="1"/>
    <xf numFmtId="167" fontId="19" fillId="0" borderId="0" xfId="0" applyNumberFormat="1" applyFont="1" applyFill="1" applyBorder="1" applyAlignment="1">
      <alignment horizontal="right"/>
    </xf>
    <xf numFmtId="0" fontId="14" fillId="0" borderId="0" xfId="0" applyFont="1" applyAlignment="1">
      <alignment horizontal="left" indent="1"/>
    </xf>
    <xf numFmtId="167" fontId="19" fillId="0" borderId="1" xfId="0" applyNumberFormat="1" applyFont="1" applyFill="1" applyBorder="1" applyAlignment="1">
      <alignment horizontal="right"/>
    </xf>
    <xf numFmtId="167" fontId="3" fillId="0" borderId="0" xfId="0" applyNumberFormat="1" applyFont="1"/>
    <xf numFmtId="168" fontId="2" fillId="0" borderId="0" xfId="0" applyNumberFormat="1" applyFont="1" applyBorder="1"/>
    <xf numFmtId="168" fontId="2" fillId="0" borderId="0" xfId="4" applyNumberFormat="1" applyFont="1" applyBorder="1"/>
    <xf numFmtId="168" fontId="3" fillId="0" borderId="0" xfId="0" applyNumberFormat="1" applyFont="1" applyBorder="1"/>
    <xf numFmtId="0" fontId="2" fillId="0" borderId="0" xfId="1" applyFont="1" applyAlignment="1">
      <alignment horizontal="center" wrapText="1"/>
    </xf>
    <xf numFmtId="0" fontId="21" fillId="0" borderId="7" xfId="0" applyFont="1" applyBorder="1"/>
    <xf numFmtId="0" fontId="3" fillId="0" borderId="2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21" fillId="0" borderId="6" xfId="0" applyFont="1" applyBorder="1"/>
    <xf numFmtId="165" fontId="2" fillId="0" borderId="0" xfId="4" applyNumberFormat="1" applyFont="1" applyFill="1" applyBorder="1"/>
    <xf numFmtId="165" fontId="21" fillId="0" borderId="0" xfId="4" applyNumberFormat="1" applyFont="1" applyFill="1" applyBorder="1"/>
    <xf numFmtId="165" fontId="21" fillId="0" borderId="9" xfId="0" applyNumberFormat="1" applyFont="1" applyFill="1" applyBorder="1"/>
    <xf numFmtId="10" fontId="21" fillId="0" borderId="0" xfId="5" applyNumberFormat="1" applyFont="1" applyFill="1" applyBorder="1"/>
    <xf numFmtId="0" fontId="21" fillId="0" borderId="9" xfId="0" applyFont="1" applyFill="1" applyBorder="1"/>
    <xf numFmtId="0" fontId="21" fillId="0" borderId="0" xfId="0" applyFont="1" applyFill="1" applyBorder="1"/>
    <xf numFmtId="0" fontId="21" fillId="0" borderId="0" xfId="0" applyFont="1" applyBorder="1"/>
    <xf numFmtId="165" fontId="21" fillId="2" borderId="0" xfId="4" applyNumberFormat="1" applyFont="1" applyFill="1" applyBorder="1"/>
    <xf numFmtId="43" fontId="21" fillId="2" borderId="0" xfId="0" applyNumberFormat="1" applyFont="1" applyFill="1" applyBorder="1"/>
    <xf numFmtId="169" fontId="21" fillId="0" borderId="9" xfId="4" applyNumberFormat="1" applyFont="1" applyBorder="1"/>
    <xf numFmtId="0" fontId="3" fillId="0" borderId="10" xfId="0" applyFont="1" applyBorder="1"/>
    <xf numFmtId="0" fontId="3" fillId="0" borderId="1" xfId="0" applyFont="1" applyBorder="1"/>
    <xf numFmtId="3" fontId="21" fillId="0" borderId="1" xfId="0" applyNumberFormat="1" applyFont="1" applyBorder="1"/>
    <xf numFmtId="0" fontId="21" fillId="0" borderId="1" xfId="0" applyFont="1" applyFill="1" applyBorder="1"/>
    <xf numFmtId="0" fontId="21" fillId="0" borderId="11" xfId="0" applyFont="1" applyFill="1" applyBorder="1"/>
    <xf numFmtId="164" fontId="2" fillId="0" borderId="0" xfId="0" applyNumberFormat="1" applyFont="1"/>
    <xf numFmtId="165" fontId="2" fillId="0" borderId="0" xfId="3" applyNumberFormat="1" applyFont="1"/>
    <xf numFmtId="0" fontId="3" fillId="0" borderId="0" xfId="1" applyFont="1" applyBorder="1"/>
    <xf numFmtId="0" fontId="2" fillId="0" borderId="0" xfId="1" applyFont="1" applyBorder="1" applyAlignment="1">
      <alignment wrapText="1"/>
    </xf>
    <xf numFmtId="0" fontId="21" fillId="0" borderId="7" xfId="0" applyFont="1" applyFill="1" applyBorder="1"/>
    <xf numFmtId="0" fontId="2" fillId="0" borderId="2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1" fillId="0" borderId="6" xfId="0" applyFont="1" applyFill="1" applyBorder="1"/>
    <xf numFmtId="4" fontId="2" fillId="0" borderId="0" xfId="0" applyNumberFormat="1" applyFont="1" applyFill="1" applyBorder="1"/>
    <xf numFmtId="4" fontId="21" fillId="0" borderId="9" xfId="0" applyNumberFormat="1" applyFont="1" applyFill="1" applyBorder="1"/>
    <xf numFmtId="9" fontId="21" fillId="0" borderId="0" xfId="5" applyFont="1" applyFill="1" applyBorder="1"/>
    <xf numFmtId="165" fontId="21" fillId="0" borderId="9" xfId="4" applyNumberFormat="1" applyFont="1" applyFill="1" applyBorder="1"/>
    <xf numFmtId="0" fontId="21" fillId="0" borderId="10" xfId="0" applyFont="1" applyFill="1" applyBorder="1"/>
    <xf numFmtId="165" fontId="3" fillId="0" borderId="0" xfId="4" applyNumberFormat="1" applyFont="1"/>
    <xf numFmtId="37" fontId="3" fillId="0" borderId="0" xfId="0" applyNumberFormat="1" applyFont="1" applyFill="1" applyAlignment="1"/>
    <xf numFmtId="165" fontId="3" fillId="0" borderId="2" xfId="4" applyNumberFormat="1" applyFont="1" applyBorder="1"/>
    <xf numFmtId="3" fontId="3" fillId="0" borderId="2" xfId="0" applyNumberFormat="1" applyFont="1" applyBorder="1"/>
    <xf numFmtId="37" fontId="2" fillId="0" borderId="0" xfId="0" applyNumberFormat="1" applyFont="1" applyFill="1"/>
    <xf numFmtId="0" fontId="19" fillId="0" borderId="0" xfId="0" applyFont="1"/>
    <xf numFmtId="37" fontId="3" fillId="0" borderId="0" xfId="0" applyNumberFormat="1" applyFont="1" applyFill="1"/>
    <xf numFmtId="0" fontId="22" fillId="0" borderId="0" xfId="0" applyFont="1"/>
    <xf numFmtId="37" fontId="2" fillId="0" borderId="0" xfId="0" applyNumberFormat="1" applyFont="1" applyFill="1" applyBorder="1"/>
    <xf numFmtId="37" fontId="3" fillId="0" borderId="3" xfId="0" applyNumberFormat="1" applyFont="1" applyFill="1" applyBorder="1"/>
    <xf numFmtId="37" fontId="3" fillId="0" borderId="2" xfId="0" applyNumberFormat="1" applyFont="1" applyFill="1" applyBorder="1"/>
    <xf numFmtId="37" fontId="3" fillId="0" borderId="5" xfId="0" applyNumberFormat="1" applyFont="1" applyFill="1" applyBorder="1"/>
    <xf numFmtId="3" fontId="19" fillId="0" borderId="0" xfId="0" applyNumberFormat="1" applyFont="1"/>
    <xf numFmtId="0" fontId="2" fillId="0" borderId="0" xfId="0" applyFont="1" applyAlignment="1">
      <alignment horizontal="centerContinuous"/>
    </xf>
    <xf numFmtId="165" fontId="21" fillId="0" borderId="0" xfId="2" applyNumberFormat="1" applyFont="1"/>
    <xf numFmtId="0" fontId="7" fillId="3" borderId="0" xfId="0" applyNumberFormat="1" applyFont="1" applyFill="1" applyAlignment="1">
      <alignment horizontal="centerContinuous"/>
    </xf>
    <xf numFmtId="0" fontId="7" fillId="3" borderId="0" xfId="0" applyFont="1" applyFill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" xfId="0" quotePrefix="1" applyFont="1" applyFill="1" applyBorder="1" applyAlignment="1">
      <alignment horizontal="center"/>
    </xf>
    <xf numFmtId="0" fontId="15" fillId="3" borderId="0" xfId="0" applyFont="1" applyFill="1"/>
    <xf numFmtId="0" fontId="3" fillId="3" borderId="0" xfId="0" applyFont="1" applyFill="1" applyAlignment="1">
      <alignment horizontal="left"/>
    </xf>
    <xf numFmtId="0" fontId="3" fillId="3" borderId="0" xfId="0" applyFont="1" applyFill="1"/>
    <xf numFmtId="167" fontId="2" fillId="3" borderId="0" xfId="0" applyNumberFormat="1" applyFont="1" applyFill="1"/>
    <xf numFmtId="167" fontId="3" fillId="3" borderId="0" xfId="0" applyNumberFormat="1" applyFont="1" applyFill="1"/>
    <xf numFmtId="167" fontId="3" fillId="3" borderId="0" xfId="0" applyNumberFormat="1" applyFont="1" applyFill="1" applyAlignment="1">
      <alignment horizontal="left" indent="3"/>
    </xf>
    <xf numFmtId="167" fontId="2" fillId="3" borderId="0" xfId="0" applyNumberFormat="1" applyFont="1" applyFill="1" applyAlignment="1"/>
    <xf numFmtId="167" fontId="3" fillId="3" borderId="0" xfId="0" applyNumberFormat="1" applyFont="1" applyFill="1" applyAlignment="1"/>
    <xf numFmtId="167" fontId="3" fillId="3" borderId="0" xfId="0" applyNumberFormat="1" applyFont="1" applyFill="1" applyAlignment="1">
      <alignment horizontal="left" indent="1"/>
    </xf>
    <xf numFmtId="169" fontId="2" fillId="3" borderId="0" xfId="0" applyNumberFormat="1" applyFont="1" applyFill="1"/>
    <xf numFmtId="169" fontId="3" fillId="3" borderId="0" xfId="0" applyNumberFormat="1" applyFont="1" applyFill="1"/>
    <xf numFmtId="0" fontId="2" fillId="3" borderId="0" xfId="0" applyFont="1" applyFill="1"/>
    <xf numFmtId="0" fontId="3" fillId="0" borderId="0" xfId="0" applyNumberFormat="1" applyFont="1" applyAlignment="1">
      <alignment horizontal="centerContinuous"/>
    </xf>
    <xf numFmtId="0" fontId="3" fillId="0" borderId="0" xfId="0" applyNumberFormat="1" applyFont="1" applyAlignment="1">
      <alignment horizontal="left"/>
    </xf>
    <xf numFmtId="41" fontId="8" fillId="0" borderId="0" xfId="0" applyNumberFormat="1" applyFont="1"/>
    <xf numFmtId="168" fontId="2" fillId="0" borderId="0" xfId="0" applyNumberFormat="1" applyFont="1" applyFill="1" applyBorder="1"/>
    <xf numFmtId="168" fontId="2" fillId="0" borderId="0" xfId="4" applyNumberFormat="1" applyFont="1" applyFill="1" applyBorder="1"/>
    <xf numFmtId="43" fontId="2" fillId="0" borderId="0" xfId="0" applyNumberFormat="1" applyFont="1" applyFill="1" applyBorder="1"/>
    <xf numFmtId="43" fontId="2" fillId="0" borderId="0" xfId="0" applyNumberFormat="1" applyFont="1" applyFill="1"/>
    <xf numFmtId="167" fontId="2" fillId="0" borderId="0" xfId="0" applyNumberFormat="1" applyFont="1" applyFill="1" applyBorder="1"/>
    <xf numFmtId="43" fontId="2" fillId="0" borderId="0" xfId="0" quotePrefix="1" applyNumberFormat="1" applyFont="1" applyFill="1" applyBorder="1" applyAlignment="1">
      <alignment horizontal="right"/>
    </xf>
    <xf numFmtId="3" fontId="2" fillId="0" borderId="0" xfId="1" applyNumberFormat="1" applyFont="1" applyFill="1" applyBorder="1"/>
    <xf numFmtId="3" fontId="2" fillId="4" borderId="0" xfId="1" applyNumberFormat="1" applyFont="1" applyFill="1"/>
    <xf numFmtId="3" fontId="2" fillId="4" borderId="1" xfId="1" applyNumberFormat="1" applyFont="1" applyFill="1" applyBorder="1"/>
    <xf numFmtId="165" fontId="2" fillId="4" borderId="0" xfId="2" applyNumberFormat="1" applyFont="1" applyFill="1"/>
    <xf numFmtId="165" fontId="2" fillId="4" borderId="2" xfId="2" applyNumberFormat="1" applyFont="1" applyFill="1" applyBorder="1"/>
    <xf numFmtId="41" fontId="2" fillId="0" borderId="0" xfId="1" applyNumberFormat="1" applyFont="1"/>
    <xf numFmtId="43" fontId="2" fillId="0" borderId="0" xfId="1" applyNumberFormat="1" applyFont="1"/>
    <xf numFmtId="169" fontId="2" fillId="0" borderId="0" xfId="1" applyNumberFormat="1" applyFont="1"/>
    <xf numFmtId="169" fontId="2" fillId="0" borderId="0" xfId="2" applyNumberFormat="1" applyFont="1"/>
    <xf numFmtId="0" fontId="23" fillId="0" borderId="0" xfId="1" applyFont="1"/>
    <xf numFmtId="165" fontId="23" fillId="0" borderId="0" xfId="1" applyNumberFormat="1" applyFont="1"/>
    <xf numFmtId="0" fontId="2" fillId="0" borderId="12" xfId="1" applyFont="1" applyBorder="1"/>
    <xf numFmtId="41" fontId="2" fillId="0" borderId="12" xfId="1" applyNumberFormat="1" applyFont="1" applyBorder="1"/>
    <xf numFmtId="0" fontId="2" fillId="3" borderId="13" xfId="1" applyFont="1" applyFill="1" applyBorder="1"/>
    <xf numFmtId="0" fontId="2" fillId="3" borderId="14" xfId="1" applyFont="1" applyFill="1" applyBorder="1"/>
    <xf numFmtId="0" fontId="2" fillId="3" borderId="15" xfId="1" applyFont="1" applyFill="1" applyBorder="1"/>
    <xf numFmtId="0" fontId="2" fillId="3" borderId="16" xfId="1" applyFont="1" applyFill="1" applyBorder="1"/>
    <xf numFmtId="0" fontId="2" fillId="3" borderId="15" xfId="0" applyFont="1" applyFill="1" applyBorder="1"/>
    <xf numFmtId="3" fontId="2" fillId="3" borderId="16" xfId="1" applyNumberFormat="1" applyFont="1" applyFill="1" applyBorder="1"/>
    <xf numFmtId="0" fontId="2" fillId="3" borderId="17" xfId="0" applyFont="1" applyFill="1" applyBorder="1"/>
    <xf numFmtId="3" fontId="2" fillId="3" borderId="18" xfId="1" applyNumberFormat="1" applyFont="1" applyFill="1" applyBorder="1"/>
    <xf numFmtId="0" fontId="2" fillId="3" borderId="19" xfId="1" applyFont="1" applyFill="1" applyBorder="1"/>
    <xf numFmtId="3" fontId="2" fillId="3" borderId="20" xfId="1" applyNumberFormat="1" applyFont="1" applyFill="1" applyBorder="1"/>
    <xf numFmtId="0" fontId="2" fillId="0" borderId="0" xfId="1" applyFont="1" applyFill="1" applyAlignment="1">
      <alignment horizontal="left" indent="1"/>
    </xf>
    <xf numFmtId="43" fontId="2" fillId="0" borderId="12" xfId="0" applyNumberFormat="1" applyFont="1" applyFill="1" applyBorder="1"/>
    <xf numFmtId="43" fontId="24" fillId="0" borderId="0" xfId="1" applyNumberFormat="1" applyFont="1"/>
    <xf numFmtId="3" fontId="25" fillId="0" borderId="0" xfId="0" applyNumberFormat="1" applyFont="1"/>
    <xf numFmtId="3" fontId="25" fillId="0" borderId="1" xfId="0" applyNumberFormat="1" applyFont="1" applyBorder="1"/>
    <xf numFmtId="0" fontId="25" fillId="0" borderId="0" xfId="0" applyFont="1"/>
    <xf numFmtId="0" fontId="25" fillId="0" borderId="1" xfId="0" applyFont="1" applyBorder="1"/>
    <xf numFmtId="3" fontId="3" fillId="0" borderId="1" xfId="0" applyNumberFormat="1" applyFont="1" applyBorder="1"/>
    <xf numFmtId="165" fontId="25" fillId="0" borderId="0" xfId="4" applyNumberFormat="1" applyFont="1"/>
    <xf numFmtId="165" fontId="25" fillId="0" borderId="1" xfId="4" applyNumberFormat="1" applyFont="1" applyBorder="1"/>
    <xf numFmtId="165" fontId="3" fillId="0" borderId="0" xfId="0" applyNumberFormat="1" applyFont="1"/>
    <xf numFmtId="165" fontId="3" fillId="0" borderId="2" xfId="0" applyNumberFormat="1" applyFont="1" applyBorder="1"/>
    <xf numFmtId="3" fontId="2" fillId="0" borderId="0" xfId="0" applyNumberFormat="1" applyFont="1" applyFill="1"/>
    <xf numFmtId="3" fontId="2" fillId="0" borderId="1" xfId="0" applyNumberFormat="1" applyFont="1" applyFill="1" applyBorder="1"/>
    <xf numFmtId="3" fontId="3" fillId="0" borderId="0" xfId="0" applyNumberFormat="1" applyFont="1" applyFill="1"/>
    <xf numFmtId="3" fontId="3" fillId="0" borderId="1" xfId="0" applyNumberFormat="1" applyFont="1" applyFill="1" applyBorder="1"/>
    <xf numFmtId="3" fontId="3" fillId="0" borderId="2" xfId="0" applyNumberFormat="1" applyFont="1" applyFill="1" applyBorder="1"/>
    <xf numFmtId="165" fontId="2" fillId="0" borderId="17" xfId="1" applyNumberFormat="1" applyFont="1" applyBorder="1"/>
    <xf numFmtId="3" fontId="2" fillId="0" borderId="21" xfId="1" applyNumberFormat="1" applyFont="1" applyBorder="1"/>
    <xf numFmtId="10" fontId="2" fillId="0" borderId="0" xfId="5" applyNumberFormat="1" applyFont="1"/>
    <xf numFmtId="0" fontId="3" fillId="2" borderId="0" xfId="0" applyFont="1" applyFill="1" applyAlignment="1">
      <alignment horizontal="left" indent="2"/>
    </xf>
    <xf numFmtId="165" fontId="3" fillId="2" borderId="0" xfId="0" applyNumberFormat="1" applyFont="1" applyFill="1"/>
    <xf numFmtId="3" fontId="3" fillId="2" borderId="0" xfId="0" applyNumberFormat="1" applyFont="1" applyFill="1"/>
    <xf numFmtId="0" fontId="3" fillId="2" borderId="0" xfId="0" applyFont="1" applyFill="1" applyAlignment="1">
      <alignment horizontal="left" indent="1"/>
    </xf>
    <xf numFmtId="0" fontId="2" fillId="2" borderId="0" xfId="0" applyFont="1" applyFill="1"/>
    <xf numFmtId="0" fontId="2" fillId="5" borderId="0" xfId="1" applyFont="1" applyFill="1" applyBorder="1" applyAlignment="1">
      <alignment horizontal="left" indent="1"/>
    </xf>
    <xf numFmtId="0" fontId="2" fillId="5" borderId="12" xfId="1" applyFont="1" applyFill="1" applyBorder="1" applyAlignment="1">
      <alignment horizontal="left" indent="1"/>
    </xf>
    <xf numFmtId="165" fontId="0" fillId="0" borderId="0" xfId="0" applyNumberFormat="1"/>
    <xf numFmtId="3" fontId="0" fillId="0" borderId="0" xfId="0" applyNumberFormat="1"/>
    <xf numFmtId="0" fontId="2" fillId="0" borderId="7" xfId="1" applyFont="1" applyBorder="1"/>
    <xf numFmtId="0" fontId="2" fillId="0" borderId="4" xfId="1" applyFont="1" applyBorder="1"/>
    <xf numFmtId="0" fontId="2" fillId="0" borderId="22" xfId="1" applyFont="1" applyBorder="1"/>
    <xf numFmtId="0" fontId="2" fillId="0" borderId="6" xfId="1" applyFont="1" applyBorder="1"/>
    <xf numFmtId="0" fontId="2" fillId="0" borderId="9" xfId="1" applyFont="1" applyBorder="1"/>
    <xf numFmtId="165" fontId="2" fillId="0" borderId="6" xfId="1" applyNumberFormat="1" applyFont="1" applyBorder="1"/>
    <xf numFmtId="165" fontId="2" fillId="0" borderId="0" xfId="1" applyNumberFormat="1" applyFont="1" applyBorder="1"/>
    <xf numFmtId="165" fontId="2" fillId="0" borderId="9" xfId="1" applyNumberFormat="1" applyFont="1" applyBorder="1"/>
    <xf numFmtId="41" fontId="2" fillId="0" borderId="0" xfId="1" applyNumberFormat="1" applyFont="1" applyBorder="1"/>
    <xf numFmtId="0" fontId="2" fillId="0" borderId="10" xfId="1" applyFont="1" applyBorder="1"/>
    <xf numFmtId="0" fontId="2" fillId="0" borderId="1" xfId="1" applyFont="1" applyBorder="1"/>
    <xf numFmtId="0" fontId="2" fillId="0" borderId="11" xfId="1" applyFont="1" applyBorder="1"/>
    <xf numFmtId="43" fontId="1" fillId="0" borderId="0" xfId="1" applyNumberFormat="1"/>
    <xf numFmtId="3" fontId="1" fillId="0" borderId="0" xfId="1" applyNumberFormat="1"/>
    <xf numFmtId="41" fontId="1" fillId="0" borderId="0" xfId="1" applyNumberFormat="1"/>
    <xf numFmtId="3" fontId="2" fillId="0" borderId="6" xfId="1" applyNumberFormat="1" applyFont="1" applyBorder="1"/>
    <xf numFmtId="0" fontId="2" fillId="0" borderId="6" xfId="1" applyFont="1" applyFill="1" applyBorder="1" applyAlignment="1">
      <alignment horizontal="left" indent="1"/>
    </xf>
    <xf numFmtId="43" fontId="2" fillId="0" borderId="0" xfId="1" applyNumberFormat="1" applyFont="1" applyBorder="1"/>
    <xf numFmtId="0" fontId="2" fillId="0" borderId="23" xfId="1" applyFont="1" applyFill="1" applyBorder="1" applyAlignment="1">
      <alignment horizontal="left" indent="1"/>
    </xf>
    <xf numFmtId="0" fontId="2" fillId="0" borderId="0" xfId="1" applyFont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wrapText="1"/>
    </xf>
    <xf numFmtId="0" fontId="3" fillId="0" borderId="0" xfId="1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2" fillId="0" borderId="0" xfId="1" applyFont="1" applyFill="1" applyBorder="1"/>
    <xf numFmtId="3" fontId="14" fillId="0" borderId="0" xfId="1" applyNumberFormat="1" applyFont="1" applyFill="1" applyBorder="1"/>
    <xf numFmtId="165" fontId="2" fillId="0" borderId="0" xfId="3" applyNumberFormat="1" applyFont="1" applyFill="1" applyBorder="1" applyAlignment="1">
      <alignment horizontal="right" indent="1"/>
    </xf>
    <xf numFmtId="165" fontId="2" fillId="0" borderId="0" xfId="2" applyNumberFormat="1" applyFont="1" applyFill="1" applyBorder="1"/>
    <xf numFmtId="165" fontId="0" fillId="0" borderId="0" xfId="3" applyNumberFormat="1" applyFont="1" applyFill="1" applyBorder="1"/>
    <xf numFmtId="3" fontId="2" fillId="0" borderId="0" xfId="1" applyNumberFormat="1" applyFont="1" applyBorder="1"/>
    <xf numFmtId="0" fontId="11" fillId="0" borderId="0" xfId="1" applyFont="1" applyFill="1" applyBorder="1"/>
    <xf numFmtId="0" fontId="2" fillId="3" borderId="0" xfId="1" applyFont="1" applyFill="1" applyBorder="1"/>
    <xf numFmtId="0" fontId="1" fillId="0" borderId="0" xfId="1" applyFont="1" applyFill="1" applyBorder="1" applyAlignment="1">
      <alignment horizontal="left" indent="1"/>
    </xf>
    <xf numFmtId="0" fontId="0" fillId="0" borderId="0" xfId="0" applyFill="1" applyBorder="1"/>
    <xf numFmtId="0" fontId="2" fillId="3" borderId="0" xfId="0" applyFont="1" applyFill="1" applyBorder="1"/>
    <xf numFmtId="3" fontId="2" fillId="3" borderId="0" xfId="1" applyNumberFormat="1" applyFont="1" applyFill="1" applyBorder="1"/>
    <xf numFmtId="0" fontId="11" fillId="0" borderId="0" xfId="1" applyFont="1" applyFill="1" applyBorder="1" applyAlignment="1">
      <alignment horizontal="left" indent="2"/>
    </xf>
    <xf numFmtId="3" fontId="3" fillId="0" borderId="0" xfId="1" applyNumberFormat="1" applyFont="1" applyBorder="1"/>
    <xf numFmtId="165" fontId="3" fillId="0" borderId="0" xfId="2" applyNumberFormat="1" applyFont="1" applyBorder="1"/>
    <xf numFmtId="0" fontId="20" fillId="0" borderId="0" xfId="0" applyFont="1" applyFill="1" applyBorder="1"/>
    <xf numFmtId="0" fontId="1" fillId="0" borderId="0" xfId="1" applyFont="1" applyBorder="1" applyAlignment="1">
      <alignment horizontal="left"/>
    </xf>
    <xf numFmtId="0" fontId="11" fillId="0" borderId="0" xfId="1" applyFont="1" applyFill="1" applyBorder="1" applyAlignment="1">
      <alignment horizontal="left" indent="3"/>
    </xf>
    <xf numFmtId="0" fontId="6" fillId="0" borderId="0" xfId="1" applyFont="1" applyBorder="1"/>
    <xf numFmtId="0" fontId="26" fillId="6" borderId="0" xfId="1" applyFont="1" applyFill="1" applyBorder="1" applyAlignment="1">
      <alignment horizontal="center"/>
    </xf>
    <xf numFmtId="0" fontId="2" fillId="0" borderId="0" xfId="1" applyNumberFormat="1" applyFont="1" applyBorder="1" applyAlignment="1">
      <alignment horizontal="left" indent="2"/>
    </xf>
    <xf numFmtId="0" fontId="2" fillId="0" borderId="0" xfId="1" applyFont="1" applyBorder="1" applyAlignment="1">
      <alignment horizontal="left" indent="2"/>
    </xf>
    <xf numFmtId="0" fontId="3" fillId="0" borderId="0" xfId="1" applyNumberFormat="1" applyFont="1" applyBorder="1" applyAlignment="1">
      <alignment horizontal="left" indent="2"/>
    </xf>
    <xf numFmtId="165" fontId="3" fillId="0" borderId="0" xfId="1" applyNumberFormat="1" applyFont="1" applyBorder="1"/>
    <xf numFmtId="0" fontId="4" fillId="0" borderId="0" xfId="1" applyFont="1" applyBorder="1"/>
    <xf numFmtId="0" fontId="5" fillId="0" borderId="0" xfId="1" applyFont="1" applyBorder="1" applyAlignment="1">
      <alignment horizontal="left" indent="1"/>
    </xf>
    <xf numFmtId="0" fontId="2" fillId="0" borderId="0" xfId="1" applyFont="1" applyBorder="1" applyAlignment="1">
      <alignment horizontal="left" indent="1"/>
    </xf>
    <xf numFmtId="0" fontId="4" fillId="0" borderId="0" xfId="1" applyFont="1" applyBorder="1" applyAlignment="1">
      <alignment horizontal="left" indent="2"/>
    </xf>
    <xf numFmtId="0" fontId="4" fillId="0" borderId="0" xfId="1" applyFont="1" applyBorder="1" applyAlignment="1">
      <alignment horizontal="left" indent="1"/>
    </xf>
    <xf numFmtId="0" fontId="5" fillId="0" borderId="0" xfId="1" applyFont="1" applyBorder="1" applyAlignment="1">
      <alignment horizontal="left" indent="2"/>
    </xf>
    <xf numFmtId="167" fontId="3" fillId="0" borderId="0" xfId="0" applyNumberFormat="1" applyFont="1" applyFill="1" applyBorder="1"/>
    <xf numFmtId="164" fontId="2" fillId="0" borderId="0" xfId="1" applyNumberFormat="1" applyFont="1" applyFill="1" applyBorder="1"/>
    <xf numFmtId="165" fontId="2" fillId="0" borderId="0" xfId="1" applyNumberFormat="1" applyFont="1" applyFill="1" applyBorder="1"/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 indent="2"/>
    </xf>
    <xf numFmtId="0" fontId="2" fillId="0" borderId="0" xfId="1" applyNumberFormat="1" applyFont="1" applyFill="1" applyBorder="1" applyAlignment="1">
      <alignment horizontal="left" indent="2"/>
    </xf>
    <xf numFmtId="0" fontId="2" fillId="0" borderId="0" xfId="1" applyFont="1" applyFill="1" applyBorder="1" applyAlignment="1">
      <alignment horizontal="left" indent="2"/>
    </xf>
    <xf numFmtId="0" fontId="3" fillId="0" borderId="0" xfId="1" applyNumberFormat="1" applyFont="1" applyFill="1" applyBorder="1" applyAlignment="1">
      <alignment horizontal="left" indent="2"/>
    </xf>
    <xf numFmtId="165" fontId="3" fillId="0" borderId="0" xfId="1" applyNumberFormat="1" applyFont="1" applyFill="1" applyBorder="1"/>
    <xf numFmtId="0" fontId="3" fillId="0" borderId="0" xfId="1" applyFont="1" applyFill="1" applyBorder="1"/>
    <xf numFmtId="0" fontId="2" fillId="0" borderId="0" xfId="1" applyFont="1" applyFill="1" applyBorder="1" applyAlignment="1">
      <alignment horizontal="left" indent="1"/>
    </xf>
    <xf numFmtId="165" fontId="2" fillId="0" borderId="0" xfId="3" applyNumberFormat="1" applyFont="1" applyFill="1" applyBorder="1"/>
    <xf numFmtId="0" fontId="3" fillId="0" borderId="0" xfId="1" applyFont="1" applyFill="1" applyBorder="1" applyAlignment="1">
      <alignment horizontal="left" indent="2"/>
    </xf>
    <xf numFmtId="164" fontId="3" fillId="0" borderId="0" xfId="1" applyNumberFormat="1" applyFont="1" applyFill="1" applyBorder="1"/>
    <xf numFmtId="165" fontId="3" fillId="0" borderId="0" xfId="3" applyNumberFormat="1" applyFont="1" applyFill="1" applyBorder="1"/>
    <xf numFmtId="0" fontId="3" fillId="0" borderId="0" xfId="1" applyFont="1" applyFill="1" applyBorder="1" applyAlignment="1">
      <alignment horizontal="left" indent="1"/>
    </xf>
    <xf numFmtId="0" fontId="3" fillId="0" borderId="0" xfId="1" applyFont="1" applyFill="1" applyBorder="1" applyAlignment="1">
      <alignment horizontal="left" indent="3"/>
    </xf>
    <xf numFmtId="0" fontId="6" fillId="0" borderId="0" xfId="1" applyFont="1" applyFill="1" applyBorder="1"/>
    <xf numFmtId="0" fontId="2" fillId="0" borderId="0" xfId="1" applyFont="1" applyFill="1" applyBorder="1" applyAlignment="1">
      <alignment wrapText="1"/>
    </xf>
    <xf numFmtId="171" fontId="2" fillId="0" borderId="0" xfId="5" applyNumberFormat="1" applyFont="1" applyFill="1" applyBorder="1"/>
    <xf numFmtId="165" fontId="2" fillId="0" borderId="0" xfId="5" applyNumberFormat="1" applyFont="1" applyFill="1" applyBorder="1"/>
    <xf numFmtId="170" fontId="2" fillId="0" borderId="0" xfId="5" applyNumberFormat="1" applyFont="1" applyFill="1" applyBorder="1"/>
    <xf numFmtId="171" fontId="2" fillId="0" borderId="0" xfId="1" applyNumberFormat="1" applyFont="1" applyFill="1" applyBorder="1"/>
  </cellXfs>
  <cellStyles count="6">
    <cellStyle name="Comma" xfId="3" builtinId="3"/>
    <cellStyle name="Comma 2" xfId="2"/>
    <cellStyle name="Comma 3" xfId="4"/>
    <cellStyle name="Normal" xfId="0" builtinId="0"/>
    <cellStyle name="Normal 2" xfId="1"/>
    <cellStyle name="Percent" xfId="5" builtinId="5"/>
  </cellStyles>
  <dxfs count="0"/>
  <tableStyles count="0" defaultTableStyle="TableStyleMedium9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\FY%202009%20Billing%20Determinants\FY\2009%20Bill%20D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!\FY%202009%20Billing%20Determinants\FY\2009%20Bill%20D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13%20financial%20report/13%20NPLR1/13%20NonPublic%20RPW_NPLR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laude/ACR/2012/LR1_Final_Filed%20with%20the%20ACR%20Report/PRC-ACR2012-NP-LR1/12%20NonPublic%20RPW_NPLR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awrencb\Local%20Settings\Temporary%20Internet%20Files\Content.Outlook\13RI6EB5\12%20Mailing%20Fees_NPLR1%203%201%20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13%20financial%20report/13%20NPLR1/13%20Summary_NPLR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awrencb\Local%20Settings\Temporary%20Internet%20Files\Content.Outlook\13RI6EB5\12%20Mailing%20Fees_NPLR1%203%201%20201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er Selected Data Here"/>
      <sheetName val="Address Correction"/>
      <sheetName val="Bulk Parcel Return Service"/>
      <sheetName val="Bulk Parcel Acctg Fee"/>
      <sheetName val="Bulk Parcel Return Permits"/>
      <sheetName val="Business Reply Mail"/>
      <sheetName val="Certificates of Mailing"/>
      <sheetName val="Certified Mail"/>
      <sheetName val="ICOA"/>
      <sheetName val="COD"/>
      <sheetName val="Delivery Confirmation"/>
      <sheetName val="First Class Presort Permits"/>
      <sheetName val="Insurance"/>
      <sheetName val="Media Mail Presort Per"/>
      <sheetName val="Merchandise Return"/>
      <sheetName val="Merchandise Return Acctg Fee"/>
      <sheetName val="Merchandise Return Permits"/>
      <sheetName val="Money Orders"/>
      <sheetName val="PAL"/>
      <sheetName val="Parcel Return Serv Permits"/>
      <sheetName val="Parcel Return Serv Acct Fee"/>
      <sheetName val="Parcel Select Permits"/>
      <sheetName val="Per Mailing App"/>
      <sheetName val="Premium Stamped Cards"/>
      <sheetName val="Premium Stamped Stationery"/>
      <sheetName val="Registered Mail"/>
      <sheetName val="Restricted Delivery"/>
      <sheetName val="Return Receipts"/>
      <sheetName val="Scheduled Pickup"/>
      <sheetName val="Shipper-Paid Forwarding"/>
      <sheetName val="Signature Confirmation"/>
      <sheetName val="Special Handling"/>
      <sheetName val="Stamped Cards"/>
      <sheetName val="Stamped Envelopes"/>
      <sheetName val="Std Bulk Permit"/>
      <sheetName val="Confirm"/>
      <sheetName val="Standard Mail Weighted Fee"/>
      <sheetName val="Other Income"/>
      <sheetName val="Summary"/>
    </sheetNames>
    <sheetDataSet>
      <sheetData sheetId="0">
        <row r="3">
          <cell r="C3">
            <v>2009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er Selected Data Here"/>
      <sheetName val="Address Correction"/>
      <sheetName val="Bulk Parcel Return Service"/>
      <sheetName val="Bulk Parcel Acctg Fee"/>
      <sheetName val="Bulk Parcel Return Permits"/>
      <sheetName val="Business Reply Mail"/>
      <sheetName val="Certificates of Mailing"/>
      <sheetName val="Certified Mail"/>
      <sheetName val="ICOA"/>
      <sheetName val="COD"/>
      <sheetName val="Delivery Confirmation"/>
      <sheetName val="First Class Presort Permits"/>
      <sheetName val="Insurance"/>
      <sheetName val="Media Mail Presort Per"/>
      <sheetName val="Merchandise Return"/>
      <sheetName val="Merchandise Return Acctg Fee"/>
      <sheetName val="Merchandise Return Permits"/>
      <sheetName val="Money Orders"/>
      <sheetName val="PAL"/>
      <sheetName val="Parcel Return Serv Permits"/>
      <sheetName val="Parcel Return Serv Acct Fee"/>
      <sheetName val="Parcel Select Permits"/>
      <sheetName val="Per Mailing App"/>
      <sheetName val="Premium Stamped Cards"/>
      <sheetName val="Premium Stamped Stationery"/>
      <sheetName val="Registered Mail"/>
      <sheetName val="Restricted Delivery"/>
      <sheetName val="Return Receipts"/>
      <sheetName val="Scheduled Pickup"/>
      <sheetName val="Shipper-Paid Forwarding"/>
      <sheetName val="Signature Confirmation"/>
      <sheetName val="Special Handling"/>
      <sheetName val="Stamped Cards"/>
      <sheetName val="Stamped Envelopes"/>
      <sheetName val="Std Bulk Permit"/>
      <sheetName val="Confirm"/>
      <sheetName val="Standard Mail Weighted Fee"/>
      <sheetName val="Other Income"/>
      <sheetName val="Summary"/>
    </sheetNames>
    <sheetDataSet>
      <sheetData sheetId="0">
        <row r="3">
          <cell r="C3">
            <v>2009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tegory RPW Data"/>
      <sheetName val="USPS RPW"/>
      <sheetName val="Revised Rate Category RPW Data"/>
      <sheetName val="Summary Category RPW Data"/>
      <sheetName val="PRC RPW"/>
      <sheetName val="Module1"/>
    </sheetNames>
    <sheetDataSet>
      <sheetData sheetId="0"/>
      <sheetData sheetId="1"/>
      <sheetData sheetId="2">
        <row r="2539">
          <cell r="D2539">
            <v>22920</v>
          </cell>
        </row>
      </sheetData>
      <sheetData sheetId="3">
        <row r="7">
          <cell r="E7">
            <v>854239284</v>
          </cell>
        </row>
        <row r="8">
          <cell r="E8">
            <v>37870655126</v>
          </cell>
        </row>
        <row r="9">
          <cell r="E9">
            <v>170949772</v>
          </cell>
        </row>
        <row r="10">
          <cell r="E10">
            <v>2248340305</v>
          </cell>
        </row>
        <row r="11">
          <cell r="E11">
            <v>1268594534</v>
          </cell>
        </row>
        <row r="12">
          <cell r="E12">
            <v>31824403</v>
          </cell>
        </row>
        <row r="13">
          <cell r="E13">
            <v>593736270</v>
          </cell>
        </row>
        <row r="14">
          <cell r="E14">
            <v>276755</v>
          </cell>
        </row>
        <row r="17">
          <cell r="F17">
            <v>247186732</v>
          </cell>
        </row>
        <row r="43">
          <cell r="C43">
            <v>18702687</v>
          </cell>
        </row>
        <row r="44">
          <cell r="C44">
            <v>48807776</v>
          </cell>
        </row>
        <row r="45">
          <cell r="C45">
            <v>59570280</v>
          </cell>
        </row>
        <row r="46">
          <cell r="C46">
            <v>6018184</v>
          </cell>
        </row>
        <row r="47">
          <cell r="C47">
            <v>139091</v>
          </cell>
        </row>
        <row r="48">
          <cell r="C48">
            <v>1610532</v>
          </cell>
        </row>
        <row r="49">
          <cell r="C49">
            <v>347595</v>
          </cell>
        </row>
        <row r="50">
          <cell r="C50">
            <v>791220</v>
          </cell>
        </row>
        <row r="51">
          <cell r="C51">
            <v>33067</v>
          </cell>
        </row>
        <row r="53">
          <cell r="C53">
            <v>133736</v>
          </cell>
        </row>
        <row r="55">
          <cell r="F55">
            <v>2543976103</v>
          </cell>
        </row>
        <row r="57">
          <cell r="F57">
            <v>2286287239</v>
          </cell>
        </row>
        <row r="59">
          <cell r="F59">
            <v>196729210</v>
          </cell>
        </row>
        <row r="61">
          <cell r="F61">
            <v>684641961</v>
          </cell>
        </row>
        <row r="65">
          <cell r="F65">
            <v>1700176969</v>
          </cell>
        </row>
        <row r="67">
          <cell r="F67">
            <v>9022056537</v>
          </cell>
        </row>
        <row r="69">
          <cell r="F69">
            <v>153498227</v>
          </cell>
        </row>
        <row r="72">
          <cell r="F72">
            <v>461782245</v>
          </cell>
        </row>
        <row r="76">
          <cell r="F76">
            <v>19810</v>
          </cell>
        </row>
        <row r="78">
          <cell r="E78">
            <v>651</v>
          </cell>
          <cell r="F78">
            <v>259803</v>
          </cell>
        </row>
        <row r="79">
          <cell r="E79">
            <v>0</v>
          </cell>
        </row>
        <row r="80">
          <cell r="E80">
            <v>0</v>
          </cell>
        </row>
        <row r="83">
          <cell r="E83">
            <v>66522910</v>
          </cell>
        </row>
        <row r="84">
          <cell r="E84">
            <v>11054538</v>
          </cell>
        </row>
        <row r="85">
          <cell r="E85">
            <v>8573710691</v>
          </cell>
        </row>
        <row r="86">
          <cell r="E86">
            <v>855913807</v>
          </cell>
        </row>
        <row r="87">
          <cell r="E87">
            <v>31192</v>
          </cell>
        </row>
        <row r="88">
          <cell r="E88">
            <v>14228</v>
          </cell>
        </row>
        <row r="89">
          <cell r="E89">
            <v>379742</v>
          </cell>
        </row>
        <row r="90">
          <cell r="E90">
            <v>761278575</v>
          </cell>
        </row>
        <row r="91">
          <cell r="E91">
            <v>36226208189</v>
          </cell>
        </row>
        <row r="92">
          <cell r="E92">
            <v>688735295</v>
          </cell>
        </row>
        <row r="93">
          <cell r="E93">
            <v>9078050920</v>
          </cell>
        </row>
        <row r="94">
          <cell r="E94">
            <v>230204369</v>
          </cell>
        </row>
        <row r="95">
          <cell r="E95">
            <v>4126510740</v>
          </cell>
        </row>
        <row r="96">
          <cell r="E96">
            <v>77465954</v>
          </cell>
        </row>
        <row r="97">
          <cell r="E97">
            <v>1133838350</v>
          </cell>
        </row>
        <row r="98">
          <cell r="E98">
            <v>974774141</v>
          </cell>
        </row>
        <row r="99">
          <cell r="E99">
            <v>447534</v>
          </cell>
        </row>
        <row r="100">
          <cell r="E100">
            <v>15326576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54827918</v>
          </cell>
        </row>
        <row r="104">
          <cell r="E104">
            <v>1364204</v>
          </cell>
        </row>
        <row r="130">
          <cell r="F130">
            <v>1036466001</v>
          </cell>
        </row>
        <row r="132">
          <cell r="E132">
            <v>119383</v>
          </cell>
        </row>
        <row r="133">
          <cell r="C133">
            <v>10751003</v>
          </cell>
        </row>
        <row r="134">
          <cell r="C134">
            <v>8624</v>
          </cell>
        </row>
        <row r="135">
          <cell r="C135">
            <v>41828174</v>
          </cell>
        </row>
        <row r="136">
          <cell r="C136">
            <v>3661963</v>
          </cell>
        </row>
        <row r="138">
          <cell r="E138">
            <v>603253982</v>
          </cell>
        </row>
        <row r="139">
          <cell r="E139">
            <v>4279517741</v>
          </cell>
        </row>
        <row r="140">
          <cell r="E140">
            <v>1386978916</v>
          </cell>
        </row>
        <row r="141">
          <cell r="E141">
            <v>89222827</v>
          </cell>
        </row>
        <row r="142">
          <cell r="C142">
            <v>6362897</v>
          </cell>
        </row>
        <row r="143">
          <cell r="C143">
            <v>287435</v>
          </cell>
        </row>
        <row r="156">
          <cell r="E156">
            <v>3663249</v>
          </cell>
        </row>
        <row r="158">
          <cell r="E158">
            <v>124996683</v>
          </cell>
        </row>
        <row r="159">
          <cell r="E159">
            <v>1007889</v>
          </cell>
        </row>
        <row r="160">
          <cell r="E160">
            <v>99934581</v>
          </cell>
        </row>
        <row r="161">
          <cell r="E161">
            <v>8679</v>
          </cell>
        </row>
        <row r="162">
          <cell r="E162">
            <v>5358667</v>
          </cell>
        </row>
        <row r="163">
          <cell r="E163">
            <v>195377457</v>
          </cell>
        </row>
        <row r="164">
          <cell r="E164">
            <v>15445431</v>
          </cell>
        </row>
        <row r="165">
          <cell r="E165">
            <v>204900</v>
          </cell>
        </row>
        <row r="166">
          <cell r="E166">
            <v>83288407</v>
          </cell>
        </row>
        <row r="167">
          <cell r="E167">
            <v>4689472</v>
          </cell>
        </row>
        <row r="168">
          <cell r="E168">
            <v>830547</v>
          </cell>
        </row>
        <row r="169">
          <cell r="E169">
            <v>5133645</v>
          </cell>
        </row>
        <row r="170">
          <cell r="E170">
            <v>472545</v>
          </cell>
        </row>
        <row r="171">
          <cell r="E171">
            <v>109241</v>
          </cell>
        </row>
        <row r="172">
          <cell r="C172">
            <v>1787541</v>
          </cell>
        </row>
        <row r="173">
          <cell r="C173">
            <v>857416</v>
          </cell>
        </row>
        <row r="174">
          <cell r="C174">
            <v>131328</v>
          </cell>
        </row>
        <row r="175">
          <cell r="C175">
            <v>46683</v>
          </cell>
        </row>
        <row r="176">
          <cell r="C176">
            <v>70776</v>
          </cell>
        </row>
      </sheetData>
      <sheetData sheetId="4">
        <row r="12">
          <cell r="G12">
            <v>21448767.243999999</v>
          </cell>
        </row>
        <row r="13">
          <cell r="G13">
            <v>1049160.5430000001</v>
          </cell>
        </row>
        <row r="23">
          <cell r="G23">
            <v>213535.35</v>
          </cell>
        </row>
        <row r="25">
          <cell r="B25">
            <v>135639.76999999999</v>
          </cell>
        </row>
        <row r="33">
          <cell r="B33">
            <v>514.39800000000002</v>
          </cell>
        </row>
        <row r="36">
          <cell r="B36">
            <v>136154.16799999998</v>
          </cell>
        </row>
        <row r="55">
          <cell r="B55">
            <v>56249.764000000003</v>
          </cell>
        </row>
        <row r="68">
          <cell r="G68">
            <v>29554.3</v>
          </cell>
        </row>
        <row r="69">
          <cell r="G69">
            <v>905.94899999999996</v>
          </cell>
        </row>
        <row r="70">
          <cell r="G70">
            <v>0.97099999999999997</v>
          </cell>
        </row>
        <row r="74">
          <cell r="B74">
            <v>2893.7440000000001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Category RPW Data"/>
      <sheetName val="Rate Category RPW Data"/>
      <sheetName val="RPW Report"/>
      <sheetName val="PRC RPW"/>
      <sheetName val="Module1"/>
    </sheetNames>
    <sheetDataSet>
      <sheetData sheetId="0">
        <row r="2">
          <cell r="D2" t="str">
            <v>2012</v>
          </cell>
        </row>
        <row r="59">
          <cell r="D59">
            <v>0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D Fees CHIR"/>
      <sheetName val="MD Distribution CHIR 1 Q 10"/>
      <sheetName val="FCM"/>
      <sheetName val="SM"/>
      <sheetName val="PER"/>
      <sheetName val="PS"/>
      <sheetName val="Int'l"/>
      <sheetName val="COMP Fees CHIR"/>
      <sheetName val="COMP Distribution CHIR 1 Q 31"/>
      <sheetName val="Competitive"/>
    </sheetNames>
    <sheetDataSet>
      <sheetData sheetId="0">
        <row r="10">
          <cell r="B10">
            <v>5341.1620000000003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_Results"/>
      <sheetName val="Neg Contribution"/>
      <sheetName val="Appendix "/>
      <sheetName val="COMP Services"/>
      <sheetName val="Prority Mail Express"/>
      <sheetName val="Priority Mail "/>
      <sheetName val="Parcel Select_Return"/>
      <sheetName val="First-Class Package Service"/>
      <sheetName val="Standard Post Mail (NEW)"/>
      <sheetName val="Intern_InternNSA"/>
      <sheetName val="FCM"/>
      <sheetName val="Standard"/>
      <sheetName val="Periodicals"/>
      <sheetName val="Package Services"/>
      <sheetName val="USPS &amp; Free"/>
      <sheetName val="MD Services"/>
      <sheetName val="Fe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B12">
            <v>2872.1779999999999</v>
          </cell>
        </row>
      </sheetData>
      <sheetData sheetId="10"/>
      <sheetData sheetId="11">
        <row r="111">
          <cell r="D111">
            <v>16929031.638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D Fees CHIR"/>
      <sheetName val="MD Distribution CHIR 1 Q 10"/>
      <sheetName val="FCM"/>
      <sheetName val="SM"/>
      <sheetName val="PER"/>
      <sheetName val="PS"/>
      <sheetName val="Int'l"/>
      <sheetName val="COMP Fees CHIR"/>
      <sheetName val="COMP Distribution CHIR 1 Q 31"/>
      <sheetName val="Competitive"/>
    </sheetNames>
    <sheetDataSet>
      <sheetData sheetId="0">
        <row r="20">
          <cell r="B20">
            <v>34.530999999999999</v>
          </cell>
        </row>
        <row r="28">
          <cell r="B28">
            <v>44492.830999999998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8">
          <cell r="B18">
            <v>99.954999999999998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A1:F156"/>
  <sheetViews>
    <sheetView topLeftCell="A19" workbookViewId="0">
      <selection activeCell="B9" sqref="B9"/>
    </sheetView>
  </sheetViews>
  <sheetFormatPr defaultRowHeight="15" x14ac:dyDescent="0.25"/>
  <cols>
    <col min="1" max="1" width="55.5703125" style="19" customWidth="1"/>
    <col min="2" max="2" width="19.42578125" style="19" bestFit="1" customWidth="1"/>
    <col min="3" max="256" width="9.140625" style="19"/>
    <col min="257" max="257" width="55.5703125" style="19" customWidth="1"/>
    <col min="258" max="258" width="17.7109375" style="19" customWidth="1"/>
    <col min="259" max="512" width="9.140625" style="19"/>
    <col min="513" max="513" width="55.5703125" style="19" customWidth="1"/>
    <col min="514" max="514" width="17.7109375" style="19" customWidth="1"/>
    <col min="515" max="768" width="9.140625" style="19"/>
    <col min="769" max="769" width="55.5703125" style="19" customWidth="1"/>
    <col min="770" max="770" width="17.7109375" style="19" customWidth="1"/>
    <col min="771" max="1024" width="9.140625" style="19"/>
    <col min="1025" max="1025" width="55.5703125" style="19" customWidth="1"/>
    <col min="1026" max="1026" width="17.7109375" style="19" customWidth="1"/>
    <col min="1027" max="1280" width="9.140625" style="19"/>
    <col min="1281" max="1281" width="55.5703125" style="19" customWidth="1"/>
    <col min="1282" max="1282" width="17.7109375" style="19" customWidth="1"/>
    <col min="1283" max="1536" width="9.140625" style="19"/>
    <col min="1537" max="1537" width="55.5703125" style="19" customWidth="1"/>
    <col min="1538" max="1538" width="17.7109375" style="19" customWidth="1"/>
    <col min="1539" max="1792" width="9.140625" style="19"/>
    <col min="1793" max="1793" width="55.5703125" style="19" customWidth="1"/>
    <col min="1794" max="1794" width="17.7109375" style="19" customWidth="1"/>
    <col min="1795" max="2048" width="9.140625" style="19"/>
    <col min="2049" max="2049" width="55.5703125" style="19" customWidth="1"/>
    <col min="2050" max="2050" width="17.7109375" style="19" customWidth="1"/>
    <col min="2051" max="2304" width="9.140625" style="19"/>
    <col min="2305" max="2305" width="55.5703125" style="19" customWidth="1"/>
    <col min="2306" max="2306" width="17.7109375" style="19" customWidth="1"/>
    <col min="2307" max="2560" width="9.140625" style="19"/>
    <col min="2561" max="2561" width="55.5703125" style="19" customWidth="1"/>
    <col min="2562" max="2562" width="17.7109375" style="19" customWidth="1"/>
    <col min="2563" max="2816" width="9.140625" style="19"/>
    <col min="2817" max="2817" width="55.5703125" style="19" customWidth="1"/>
    <col min="2818" max="2818" width="17.7109375" style="19" customWidth="1"/>
    <col min="2819" max="3072" width="9.140625" style="19"/>
    <col min="3073" max="3073" width="55.5703125" style="19" customWidth="1"/>
    <col min="3074" max="3074" width="17.7109375" style="19" customWidth="1"/>
    <col min="3075" max="3328" width="9.140625" style="19"/>
    <col min="3329" max="3329" width="55.5703125" style="19" customWidth="1"/>
    <col min="3330" max="3330" width="17.7109375" style="19" customWidth="1"/>
    <col min="3331" max="3584" width="9.140625" style="19"/>
    <col min="3585" max="3585" width="55.5703125" style="19" customWidth="1"/>
    <col min="3586" max="3586" width="17.7109375" style="19" customWidth="1"/>
    <col min="3587" max="3840" width="9.140625" style="19"/>
    <col min="3841" max="3841" width="55.5703125" style="19" customWidth="1"/>
    <col min="3842" max="3842" width="17.7109375" style="19" customWidth="1"/>
    <col min="3843" max="4096" width="9.140625" style="19"/>
    <col min="4097" max="4097" width="55.5703125" style="19" customWidth="1"/>
    <col min="4098" max="4098" width="17.7109375" style="19" customWidth="1"/>
    <col min="4099" max="4352" width="9.140625" style="19"/>
    <col min="4353" max="4353" width="55.5703125" style="19" customWidth="1"/>
    <col min="4354" max="4354" width="17.7109375" style="19" customWidth="1"/>
    <col min="4355" max="4608" width="9.140625" style="19"/>
    <col min="4609" max="4609" width="55.5703125" style="19" customWidth="1"/>
    <col min="4610" max="4610" width="17.7109375" style="19" customWidth="1"/>
    <col min="4611" max="4864" width="9.140625" style="19"/>
    <col min="4865" max="4865" width="55.5703125" style="19" customWidth="1"/>
    <col min="4866" max="4866" width="17.7109375" style="19" customWidth="1"/>
    <col min="4867" max="5120" width="9.140625" style="19"/>
    <col min="5121" max="5121" width="55.5703125" style="19" customWidth="1"/>
    <col min="5122" max="5122" width="17.7109375" style="19" customWidth="1"/>
    <col min="5123" max="5376" width="9.140625" style="19"/>
    <col min="5377" max="5377" width="55.5703125" style="19" customWidth="1"/>
    <col min="5378" max="5378" width="17.7109375" style="19" customWidth="1"/>
    <col min="5379" max="5632" width="9.140625" style="19"/>
    <col min="5633" max="5633" width="55.5703125" style="19" customWidth="1"/>
    <col min="5634" max="5634" width="17.7109375" style="19" customWidth="1"/>
    <col min="5635" max="5888" width="9.140625" style="19"/>
    <col min="5889" max="5889" width="55.5703125" style="19" customWidth="1"/>
    <col min="5890" max="5890" width="17.7109375" style="19" customWidth="1"/>
    <col min="5891" max="6144" width="9.140625" style="19"/>
    <col min="6145" max="6145" width="55.5703125" style="19" customWidth="1"/>
    <col min="6146" max="6146" width="17.7109375" style="19" customWidth="1"/>
    <col min="6147" max="6400" width="9.140625" style="19"/>
    <col min="6401" max="6401" width="55.5703125" style="19" customWidth="1"/>
    <col min="6402" max="6402" width="17.7109375" style="19" customWidth="1"/>
    <col min="6403" max="6656" width="9.140625" style="19"/>
    <col min="6657" max="6657" width="55.5703125" style="19" customWidth="1"/>
    <col min="6658" max="6658" width="17.7109375" style="19" customWidth="1"/>
    <col min="6659" max="6912" width="9.140625" style="19"/>
    <col min="6913" max="6913" width="55.5703125" style="19" customWidth="1"/>
    <col min="6914" max="6914" width="17.7109375" style="19" customWidth="1"/>
    <col min="6915" max="7168" width="9.140625" style="19"/>
    <col min="7169" max="7169" width="55.5703125" style="19" customWidth="1"/>
    <col min="7170" max="7170" width="17.7109375" style="19" customWidth="1"/>
    <col min="7171" max="7424" width="9.140625" style="19"/>
    <col min="7425" max="7425" width="55.5703125" style="19" customWidth="1"/>
    <col min="7426" max="7426" width="17.7109375" style="19" customWidth="1"/>
    <col min="7427" max="7680" width="9.140625" style="19"/>
    <col min="7681" max="7681" width="55.5703125" style="19" customWidth="1"/>
    <col min="7682" max="7682" width="17.7109375" style="19" customWidth="1"/>
    <col min="7683" max="7936" width="9.140625" style="19"/>
    <col min="7937" max="7937" width="55.5703125" style="19" customWidth="1"/>
    <col min="7938" max="7938" width="17.7109375" style="19" customWidth="1"/>
    <col min="7939" max="8192" width="9.140625" style="19"/>
    <col min="8193" max="8193" width="55.5703125" style="19" customWidth="1"/>
    <col min="8194" max="8194" width="17.7109375" style="19" customWidth="1"/>
    <col min="8195" max="8448" width="9.140625" style="19"/>
    <col min="8449" max="8449" width="55.5703125" style="19" customWidth="1"/>
    <col min="8450" max="8450" width="17.7109375" style="19" customWidth="1"/>
    <col min="8451" max="8704" width="9.140625" style="19"/>
    <col min="8705" max="8705" width="55.5703125" style="19" customWidth="1"/>
    <col min="8706" max="8706" width="17.7109375" style="19" customWidth="1"/>
    <col min="8707" max="8960" width="9.140625" style="19"/>
    <col min="8961" max="8961" width="55.5703125" style="19" customWidth="1"/>
    <col min="8962" max="8962" width="17.7109375" style="19" customWidth="1"/>
    <col min="8963" max="9216" width="9.140625" style="19"/>
    <col min="9217" max="9217" width="55.5703125" style="19" customWidth="1"/>
    <col min="9218" max="9218" width="17.7109375" style="19" customWidth="1"/>
    <col min="9219" max="9472" width="9.140625" style="19"/>
    <col min="9473" max="9473" width="55.5703125" style="19" customWidth="1"/>
    <col min="9474" max="9474" width="17.7109375" style="19" customWidth="1"/>
    <col min="9475" max="9728" width="9.140625" style="19"/>
    <col min="9729" max="9729" width="55.5703125" style="19" customWidth="1"/>
    <col min="9730" max="9730" width="17.7109375" style="19" customWidth="1"/>
    <col min="9731" max="9984" width="9.140625" style="19"/>
    <col min="9985" max="9985" width="55.5703125" style="19" customWidth="1"/>
    <col min="9986" max="9986" width="17.7109375" style="19" customWidth="1"/>
    <col min="9987" max="10240" width="9.140625" style="19"/>
    <col min="10241" max="10241" width="55.5703125" style="19" customWidth="1"/>
    <col min="10242" max="10242" width="17.7109375" style="19" customWidth="1"/>
    <col min="10243" max="10496" width="9.140625" style="19"/>
    <col min="10497" max="10497" width="55.5703125" style="19" customWidth="1"/>
    <col min="10498" max="10498" width="17.7109375" style="19" customWidth="1"/>
    <col min="10499" max="10752" width="9.140625" style="19"/>
    <col min="10753" max="10753" width="55.5703125" style="19" customWidth="1"/>
    <col min="10754" max="10754" width="17.7109375" style="19" customWidth="1"/>
    <col min="10755" max="11008" width="9.140625" style="19"/>
    <col min="11009" max="11009" width="55.5703125" style="19" customWidth="1"/>
    <col min="11010" max="11010" width="17.7109375" style="19" customWidth="1"/>
    <col min="11011" max="11264" width="9.140625" style="19"/>
    <col min="11265" max="11265" width="55.5703125" style="19" customWidth="1"/>
    <col min="11266" max="11266" width="17.7109375" style="19" customWidth="1"/>
    <col min="11267" max="11520" width="9.140625" style="19"/>
    <col min="11521" max="11521" width="55.5703125" style="19" customWidth="1"/>
    <col min="11522" max="11522" width="17.7109375" style="19" customWidth="1"/>
    <col min="11523" max="11776" width="9.140625" style="19"/>
    <col min="11777" max="11777" width="55.5703125" style="19" customWidth="1"/>
    <col min="11778" max="11778" width="17.7109375" style="19" customWidth="1"/>
    <col min="11779" max="12032" width="9.140625" style="19"/>
    <col min="12033" max="12033" width="55.5703125" style="19" customWidth="1"/>
    <col min="12034" max="12034" width="17.7109375" style="19" customWidth="1"/>
    <col min="12035" max="12288" width="9.140625" style="19"/>
    <col min="12289" max="12289" width="55.5703125" style="19" customWidth="1"/>
    <col min="12290" max="12290" width="17.7109375" style="19" customWidth="1"/>
    <col min="12291" max="12544" width="9.140625" style="19"/>
    <col min="12545" max="12545" width="55.5703125" style="19" customWidth="1"/>
    <col min="12546" max="12546" width="17.7109375" style="19" customWidth="1"/>
    <col min="12547" max="12800" width="9.140625" style="19"/>
    <col min="12801" max="12801" width="55.5703125" style="19" customWidth="1"/>
    <col min="12802" max="12802" width="17.7109375" style="19" customWidth="1"/>
    <col min="12803" max="13056" width="9.140625" style="19"/>
    <col min="13057" max="13057" width="55.5703125" style="19" customWidth="1"/>
    <col min="13058" max="13058" width="17.7109375" style="19" customWidth="1"/>
    <col min="13059" max="13312" width="9.140625" style="19"/>
    <col min="13313" max="13313" width="55.5703125" style="19" customWidth="1"/>
    <col min="13314" max="13314" width="17.7109375" style="19" customWidth="1"/>
    <col min="13315" max="13568" width="9.140625" style="19"/>
    <col min="13569" max="13569" width="55.5703125" style="19" customWidth="1"/>
    <col min="13570" max="13570" width="17.7109375" style="19" customWidth="1"/>
    <col min="13571" max="13824" width="9.140625" style="19"/>
    <col min="13825" max="13825" width="55.5703125" style="19" customWidth="1"/>
    <col min="13826" max="13826" width="17.7109375" style="19" customWidth="1"/>
    <col min="13827" max="14080" width="9.140625" style="19"/>
    <col min="14081" max="14081" width="55.5703125" style="19" customWidth="1"/>
    <col min="14082" max="14082" width="17.7109375" style="19" customWidth="1"/>
    <col min="14083" max="14336" width="9.140625" style="19"/>
    <col min="14337" max="14337" width="55.5703125" style="19" customWidth="1"/>
    <col min="14338" max="14338" width="17.7109375" style="19" customWidth="1"/>
    <col min="14339" max="14592" width="9.140625" style="19"/>
    <col min="14593" max="14593" width="55.5703125" style="19" customWidth="1"/>
    <col min="14594" max="14594" width="17.7109375" style="19" customWidth="1"/>
    <col min="14595" max="14848" width="9.140625" style="19"/>
    <col min="14849" max="14849" width="55.5703125" style="19" customWidth="1"/>
    <col min="14850" max="14850" width="17.7109375" style="19" customWidth="1"/>
    <col min="14851" max="15104" width="9.140625" style="19"/>
    <col min="15105" max="15105" width="55.5703125" style="19" customWidth="1"/>
    <col min="15106" max="15106" width="17.7109375" style="19" customWidth="1"/>
    <col min="15107" max="15360" width="9.140625" style="19"/>
    <col min="15361" max="15361" width="55.5703125" style="19" customWidth="1"/>
    <col min="15362" max="15362" width="17.7109375" style="19" customWidth="1"/>
    <col min="15363" max="15616" width="9.140625" style="19"/>
    <col min="15617" max="15617" width="55.5703125" style="19" customWidth="1"/>
    <col min="15618" max="15618" width="17.7109375" style="19" customWidth="1"/>
    <col min="15619" max="15872" width="9.140625" style="19"/>
    <col min="15873" max="15873" width="55.5703125" style="19" customWidth="1"/>
    <col min="15874" max="15874" width="17.7109375" style="19" customWidth="1"/>
    <col min="15875" max="16128" width="9.140625" style="19"/>
    <col min="16129" max="16129" width="55.5703125" style="19" customWidth="1"/>
    <col min="16130" max="16130" width="17.7109375" style="19" customWidth="1"/>
    <col min="16131" max="16384" width="9.140625" style="19"/>
  </cols>
  <sheetData>
    <row r="1" spans="1:2" ht="15.75" x14ac:dyDescent="0.25">
      <c r="A1" s="17" t="s">
        <v>196</v>
      </c>
      <c r="B1" s="18"/>
    </row>
    <row r="2" spans="1:2" ht="15.75" x14ac:dyDescent="0.25">
      <c r="A2" s="17" t="s">
        <v>202</v>
      </c>
      <c r="B2" s="18"/>
    </row>
    <row r="3" spans="1:2" ht="15.75" x14ac:dyDescent="0.25">
      <c r="A3" s="17"/>
    </row>
    <row r="4" spans="1:2" ht="15.75" x14ac:dyDescent="0.25">
      <c r="A4" s="38"/>
      <c r="B4" s="39" t="s">
        <v>15</v>
      </c>
    </row>
    <row r="5" spans="1:2" ht="15.75" x14ac:dyDescent="0.25">
      <c r="A5" s="23" t="s">
        <v>16</v>
      </c>
      <c r="B5" s="40" t="s">
        <v>17</v>
      </c>
    </row>
    <row r="6" spans="1:2" ht="15.75" x14ac:dyDescent="0.25">
      <c r="A6" s="41" t="s">
        <v>18</v>
      </c>
    </row>
    <row r="7" spans="1:2" ht="15.75" x14ac:dyDescent="0.25">
      <c r="A7" s="42" t="s">
        <v>19</v>
      </c>
    </row>
    <row r="8" spans="1:2" ht="15.75" x14ac:dyDescent="0.25">
      <c r="A8" s="43" t="s">
        <v>20</v>
      </c>
    </row>
    <row r="9" spans="1:2" ht="15.75" x14ac:dyDescent="0.25">
      <c r="A9" s="44" t="s">
        <v>6</v>
      </c>
      <c r="B9" s="218">
        <f>+'[3]Summary Category RPW Data'!$C$45/1000</f>
        <v>59570.28</v>
      </c>
    </row>
    <row r="10" spans="1:2" ht="15.75" x14ac:dyDescent="0.25">
      <c r="A10" s="44" t="s">
        <v>7</v>
      </c>
      <c r="B10" s="218">
        <f>+'[3]Summary Category RPW Data'!$C$46/1000</f>
        <v>6018.1840000000002</v>
      </c>
    </row>
    <row r="11" spans="1:2" ht="15.75" x14ac:dyDescent="0.25">
      <c r="A11" s="44" t="s">
        <v>199</v>
      </c>
      <c r="B11" s="219">
        <f>+'[3]Summary Category RPW Data'!$C$47/1000</f>
        <v>139.09100000000001</v>
      </c>
    </row>
    <row r="12" spans="1:2" ht="15.75" x14ac:dyDescent="0.25">
      <c r="A12" s="44" t="s">
        <v>162</v>
      </c>
      <c r="B12" s="218">
        <f>+'[3]Summary Category RPW Data'!$C$48/1000</f>
        <v>1610.5319999999999</v>
      </c>
    </row>
    <row r="13" spans="1:2" ht="15.75" x14ac:dyDescent="0.25">
      <c r="A13" s="44" t="s">
        <v>165</v>
      </c>
      <c r="B13" s="218">
        <f>+'[3]Summary Category RPW Data'!$C$50/1000</f>
        <v>791.22</v>
      </c>
    </row>
    <row r="14" spans="1:2" ht="15.75" x14ac:dyDescent="0.25">
      <c r="A14" s="44" t="s">
        <v>163</v>
      </c>
      <c r="B14" s="218">
        <f>+'[3]Summary Category RPW Data'!$C$43/1000</f>
        <v>18702.687000000002</v>
      </c>
    </row>
    <row r="15" spans="1:2" ht="15.75" x14ac:dyDescent="0.25">
      <c r="A15" s="44" t="s">
        <v>164</v>
      </c>
      <c r="B15" s="218">
        <f>+'[3]Summary Category RPW Data'!$C$44/1000</f>
        <v>48807.775999999998</v>
      </c>
    </row>
    <row r="16" spans="1:2" ht="15.75" x14ac:dyDescent="0.25">
      <c r="A16" s="48" t="s">
        <v>166</v>
      </c>
      <c r="B16" s="150">
        <f>+SUM(B9:B15)</f>
        <v>135639.77000000002</v>
      </c>
    </row>
    <row r="17" spans="1:2" ht="15.75" x14ac:dyDescent="0.25">
      <c r="A17" s="43" t="s">
        <v>167</v>
      </c>
      <c r="B17" s="149"/>
    </row>
    <row r="18" spans="1:2" ht="15.75" x14ac:dyDescent="0.25">
      <c r="A18" s="44" t="s">
        <v>168</v>
      </c>
      <c r="B18" s="149">
        <v>0</v>
      </c>
    </row>
    <row r="19" spans="1:2" ht="15.75" x14ac:dyDescent="0.25">
      <c r="A19" s="44" t="s">
        <v>169</v>
      </c>
      <c r="B19" s="148">
        <f>+'[3]Summary Category RPW Data'!$C$49/1000</f>
        <v>347.59500000000003</v>
      </c>
    </row>
    <row r="20" spans="1:2" ht="15.75" x14ac:dyDescent="0.25">
      <c r="A20" s="44" t="s">
        <v>170</v>
      </c>
      <c r="B20" s="149">
        <f>+'[3]Summary Category RPW Data'!$C$51/1000</f>
        <v>33.067</v>
      </c>
    </row>
    <row r="21" spans="1:2" ht="15.75" x14ac:dyDescent="0.25">
      <c r="A21" s="44" t="s">
        <v>171</v>
      </c>
      <c r="B21" s="149">
        <f>+'[4]Summary Category RPW Data'!$D$59</f>
        <v>0</v>
      </c>
    </row>
    <row r="22" spans="1:2" ht="15.75" x14ac:dyDescent="0.25">
      <c r="A22" s="44" t="s">
        <v>172</v>
      </c>
      <c r="B22" s="148">
        <f>+'[3]Summary Category RPW Data'!$C$53/1000</f>
        <v>133.73599999999999</v>
      </c>
    </row>
    <row r="23" spans="1:2" ht="15.75" x14ac:dyDescent="0.25">
      <c r="A23" s="48" t="s">
        <v>173</v>
      </c>
      <c r="B23" s="150">
        <f>+SUM(B18:B22)</f>
        <v>514.39800000000002</v>
      </c>
    </row>
    <row r="24" spans="1:2" ht="15.75" x14ac:dyDescent="0.25">
      <c r="A24" s="48" t="s">
        <v>174</v>
      </c>
      <c r="B24" s="150">
        <f>+B23+B16</f>
        <v>136154.16800000001</v>
      </c>
    </row>
    <row r="25" spans="1:2" ht="15.75" x14ac:dyDescent="0.25">
      <c r="A25" s="125" t="s">
        <v>175</v>
      </c>
      <c r="B25" s="123"/>
    </row>
    <row r="26" spans="1:2" ht="15.75" x14ac:dyDescent="0.25">
      <c r="A26" s="65" t="s">
        <v>176</v>
      </c>
      <c r="B26" s="123">
        <f>+'[3]Summary Category RPW Data'!$C$136/1000</f>
        <v>3661.9630000000002</v>
      </c>
    </row>
    <row r="27" spans="1:2" ht="15.75" x14ac:dyDescent="0.25">
      <c r="A27" s="65" t="s">
        <v>177</v>
      </c>
      <c r="B27" s="123">
        <f>+'[3]Summary Category RPW Data'!$C$133/1000</f>
        <v>10751.003000000001</v>
      </c>
    </row>
    <row r="28" spans="1:2" ht="15.75" x14ac:dyDescent="0.25">
      <c r="A28" s="65" t="s">
        <v>164</v>
      </c>
      <c r="B28" s="123">
        <f>+'[3]Summary Category RPW Data'!$C$135/1000+'[3]Summary Category RPW Data'!$C$134/1000</f>
        <v>41836.798000000003</v>
      </c>
    </row>
    <row r="29" spans="1:2" ht="15.75" x14ac:dyDescent="0.25">
      <c r="A29" s="56" t="s">
        <v>178</v>
      </c>
      <c r="B29" s="127">
        <f>SUM(B26:B28)</f>
        <v>56249.764000000003</v>
      </c>
    </row>
    <row r="30" spans="1:2" ht="15.75" x14ac:dyDescent="0.25">
      <c r="A30" s="125" t="s">
        <v>179</v>
      </c>
      <c r="B30" s="122"/>
    </row>
    <row r="31" spans="1:2" ht="15.75" x14ac:dyDescent="0.25">
      <c r="A31" s="65" t="s">
        <v>180</v>
      </c>
      <c r="B31" s="122">
        <f>+'[3]Summary Category RPW Data'!$C$142/1000</f>
        <v>6362.8969999999999</v>
      </c>
    </row>
    <row r="32" spans="1:2" ht="15.75" x14ac:dyDescent="0.25">
      <c r="A32" s="65" t="s">
        <v>164</v>
      </c>
      <c r="B32" s="122">
        <f>+'[3]Summary Category RPW Data'!$C$143/1000</f>
        <v>287.435</v>
      </c>
    </row>
    <row r="33" spans="1:2" ht="15.75" x14ac:dyDescent="0.25">
      <c r="A33" s="56" t="s">
        <v>181</v>
      </c>
      <c r="B33" s="127">
        <f>SUM(B31:B32)</f>
        <v>6650.3320000000003</v>
      </c>
    </row>
    <row r="34" spans="1:2" ht="15.75" x14ac:dyDescent="0.25">
      <c r="A34" s="126" t="s">
        <v>182</v>
      </c>
      <c r="B34" s="122"/>
    </row>
    <row r="35" spans="1:2" ht="15.75" x14ac:dyDescent="0.25">
      <c r="A35" s="65" t="s">
        <v>7</v>
      </c>
      <c r="B35" s="144">
        <f>+'[3]Summary Category RPW Data'!$C$174/1000</f>
        <v>131.328</v>
      </c>
    </row>
    <row r="36" spans="1:2" ht="15.75" x14ac:dyDescent="0.25">
      <c r="A36" s="145" t="s">
        <v>177</v>
      </c>
      <c r="B36" s="144">
        <f>+'[3]Summary Category RPW Data'!$C$172/1000</f>
        <v>1787.5409999999999</v>
      </c>
    </row>
    <row r="37" spans="1:2" ht="15.75" x14ac:dyDescent="0.25">
      <c r="A37" s="145" t="s">
        <v>164</v>
      </c>
      <c r="B37" s="144">
        <f>+'[3]Summary Category RPW Data'!$C$173/1000</f>
        <v>857.41600000000005</v>
      </c>
    </row>
    <row r="38" spans="1:2" ht="15.75" x14ac:dyDescent="0.25">
      <c r="A38" s="145" t="s">
        <v>8</v>
      </c>
      <c r="B38" s="144">
        <v>0</v>
      </c>
    </row>
    <row r="39" spans="1:2" ht="15.75" x14ac:dyDescent="0.25">
      <c r="A39" s="145" t="s">
        <v>183</v>
      </c>
      <c r="B39" s="144">
        <f>+'[3]Summary Category RPW Data'!$C$175/1000</f>
        <v>46.683</v>
      </c>
    </row>
    <row r="40" spans="1:2" ht="15.75" x14ac:dyDescent="0.25">
      <c r="A40" s="145" t="s">
        <v>162</v>
      </c>
      <c r="B40" s="146">
        <f>+'[3]Summary Category RPW Data'!$C$176/1000</f>
        <v>70.775999999999996</v>
      </c>
    </row>
    <row r="41" spans="1:2" ht="15.75" x14ac:dyDescent="0.25">
      <c r="A41" s="56" t="s">
        <v>184</v>
      </c>
      <c r="B41" s="147">
        <f>SUM(B35:B40)</f>
        <v>2893.7439999999997</v>
      </c>
    </row>
    <row r="42" spans="1:2" ht="15.75" x14ac:dyDescent="0.25">
      <c r="A42" s="56" t="s">
        <v>185</v>
      </c>
      <c r="B42" s="147">
        <f>B24+B29+B33+B41</f>
        <v>201948.008</v>
      </c>
    </row>
    <row r="43" spans="1:2" ht="15.75" x14ac:dyDescent="0.25">
      <c r="A43" s="129"/>
      <c r="B43" s="124"/>
    </row>
    <row r="44" spans="1:2" ht="15.75" x14ac:dyDescent="0.25">
      <c r="A44" s="130"/>
      <c r="B44" s="57"/>
    </row>
    <row r="45" spans="1:2" ht="15.75" x14ac:dyDescent="0.25">
      <c r="A45" s="130"/>
      <c r="B45" s="57"/>
    </row>
    <row r="46" spans="1:2" ht="15.75" x14ac:dyDescent="0.25">
      <c r="A46" s="131"/>
      <c r="B46" s="57"/>
    </row>
    <row r="47" spans="1:2" ht="15.75" x14ac:dyDescent="0.25">
      <c r="A47" s="129"/>
      <c r="B47" s="132"/>
    </row>
    <row r="48" spans="1:2" ht="15.75" x14ac:dyDescent="0.25">
      <c r="A48" s="130"/>
      <c r="B48" s="57"/>
    </row>
    <row r="49" spans="1:2" ht="15.75" x14ac:dyDescent="0.25">
      <c r="A49" s="130"/>
      <c r="B49" s="57"/>
    </row>
    <row r="50" spans="1:2" ht="15.75" x14ac:dyDescent="0.25">
      <c r="A50" s="131"/>
      <c r="B50" s="57"/>
    </row>
    <row r="51" spans="1:2" ht="15.75" x14ac:dyDescent="0.25">
      <c r="A51" s="131"/>
      <c r="B51" s="57"/>
    </row>
    <row r="52" spans="1:2" ht="15.75" x14ac:dyDescent="0.25">
      <c r="A52" s="129"/>
      <c r="B52" s="132"/>
    </row>
    <row r="53" spans="1:2" ht="15.75" x14ac:dyDescent="0.25">
      <c r="A53" s="130"/>
      <c r="B53" s="57"/>
    </row>
    <row r="54" spans="1:2" ht="15.75" x14ac:dyDescent="0.25">
      <c r="A54" s="130"/>
      <c r="B54" s="57"/>
    </row>
    <row r="55" spans="1:2" ht="15.75" x14ac:dyDescent="0.25">
      <c r="A55" s="131"/>
      <c r="B55" s="57"/>
    </row>
    <row r="56" spans="1:2" ht="15.75" x14ac:dyDescent="0.25">
      <c r="A56" s="130"/>
      <c r="B56" s="57"/>
    </row>
    <row r="57" spans="1:2" ht="15.75" x14ac:dyDescent="0.25">
      <c r="A57" s="130"/>
      <c r="B57" s="57"/>
    </row>
    <row r="58" spans="1:2" ht="15.75" x14ac:dyDescent="0.25">
      <c r="A58" s="131"/>
      <c r="B58" s="57"/>
    </row>
    <row r="59" spans="1:2" ht="15.75" x14ac:dyDescent="0.25">
      <c r="A59" s="131"/>
      <c r="B59" s="57"/>
    </row>
    <row r="60" spans="1:2" ht="15.75" x14ac:dyDescent="0.25">
      <c r="A60" s="129"/>
      <c r="B60" s="132"/>
    </row>
    <row r="61" spans="1:2" ht="15.75" x14ac:dyDescent="0.25">
      <c r="A61" s="130"/>
      <c r="B61" s="57"/>
    </row>
    <row r="62" spans="1:2" ht="15.75" x14ac:dyDescent="0.25">
      <c r="A62" s="130"/>
      <c r="B62" s="57"/>
    </row>
    <row r="63" spans="1:2" ht="15.75" x14ac:dyDescent="0.25">
      <c r="A63" s="131"/>
      <c r="B63" s="57"/>
    </row>
    <row r="64" spans="1:2" ht="15.75" x14ac:dyDescent="0.25">
      <c r="A64" s="130"/>
      <c r="B64" s="57"/>
    </row>
    <row r="65" spans="1:2" ht="15.75" x14ac:dyDescent="0.25">
      <c r="A65" s="130"/>
      <c r="B65" s="57"/>
    </row>
    <row r="66" spans="1:2" ht="15.75" x14ac:dyDescent="0.25">
      <c r="A66" s="131"/>
      <c r="B66" s="57"/>
    </row>
    <row r="67" spans="1:2" ht="15.75" x14ac:dyDescent="0.25">
      <c r="A67" s="131"/>
      <c r="B67" s="57"/>
    </row>
    <row r="68" spans="1:2" ht="15.75" x14ac:dyDescent="0.25">
      <c r="A68" s="131"/>
      <c r="B68" s="57"/>
    </row>
    <row r="69" spans="1:2" ht="15.75" x14ac:dyDescent="0.25">
      <c r="A69" s="129"/>
      <c r="B69" s="132"/>
    </row>
    <row r="70" spans="1:2" ht="15.75" x14ac:dyDescent="0.25">
      <c r="A70" s="130"/>
      <c r="B70" s="57"/>
    </row>
    <row r="71" spans="1:2" ht="15.75" x14ac:dyDescent="0.25">
      <c r="A71" s="130"/>
      <c r="B71" s="57"/>
    </row>
    <row r="72" spans="1:2" ht="15.75" x14ac:dyDescent="0.25">
      <c r="A72" s="130"/>
      <c r="B72" s="57"/>
    </row>
    <row r="73" spans="1:2" ht="15.75" x14ac:dyDescent="0.25">
      <c r="A73" s="131"/>
      <c r="B73" s="57"/>
    </row>
    <row r="74" spans="1:2" ht="15.75" x14ac:dyDescent="0.25">
      <c r="A74" s="129"/>
      <c r="B74" s="132"/>
    </row>
    <row r="75" spans="1:2" ht="15.75" x14ac:dyDescent="0.25">
      <c r="A75" s="130"/>
      <c r="B75" s="57"/>
    </row>
    <row r="76" spans="1:2" ht="15.75" x14ac:dyDescent="0.25">
      <c r="A76" s="130"/>
      <c r="B76" s="57"/>
    </row>
    <row r="77" spans="1:2" ht="15.75" x14ac:dyDescent="0.25">
      <c r="A77" s="130"/>
      <c r="B77" s="57"/>
    </row>
    <row r="78" spans="1:2" ht="15.75" x14ac:dyDescent="0.25">
      <c r="A78" s="131"/>
      <c r="B78" s="57"/>
    </row>
    <row r="79" spans="1:2" ht="15.75" x14ac:dyDescent="0.25">
      <c r="A79" s="131"/>
      <c r="B79" s="57"/>
    </row>
    <row r="80" spans="1:2" ht="15.75" x14ac:dyDescent="0.25">
      <c r="A80" s="131"/>
      <c r="B80" s="132"/>
    </row>
    <row r="81" spans="1:2" ht="15.75" x14ac:dyDescent="0.25">
      <c r="A81" s="131"/>
      <c r="B81" s="132"/>
    </row>
    <row r="82" spans="1:2" ht="15.75" x14ac:dyDescent="0.25">
      <c r="A82" s="133"/>
      <c r="B82" s="57"/>
    </row>
    <row r="83" spans="1:2" ht="15.75" x14ac:dyDescent="0.25">
      <c r="A83" s="128"/>
      <c r="B83" s="132"/>
    </row>
    <row r="84" spans="1:2" ht="15.75" x14ac:dyDescent="0.25">
      <c r="A84" s="129"/>
      <c r="B84" s="132"/>
    </row>
    <row r="85" spans="1:2" ht="15.75" x14ac:dyDescent="0.25">
      <c r="A85" s="130"/>
      <c r="B85" s="57"/>
    </row>
    <row r="86" spans="1:2" ht="15.75" x14ac:dyDescent="0.25">
      <c r="A86" s="130"/>
      <c r="B86" s="57"/>
    </row>
    <row r="87" spans="1:2" ht="15.75" x14ac:dyDescent="0.25">
      <c r="A87" s="131"/>
      <c r="B87" s="57"/>
    </row>
    <row r="88" spans="1:2" ht="15.75" x14ac:dyDescent="0.25">
      <c r="A88" s="129"/>
      <c r="B88" s="132"/>
    </row>
    <row r="89" spans="1:2" ht="15.75" x14ac:dyDescent="0.25">
      <c r="A89" s="130"/>
      <c r="B89" s="57"/>
    </row>
    <row r="90" spans="1:2" ht="15.75" x14ac:dyDescent="0.25">
      <c r="A90" s="130"/>
      <c r="B90" s="57"/>
    </row>
    <row r="91" spans="1:2" ht="15.75" x14ac:dyDescent="0.25">
      <c r="A91" s="131"/>
      <c r="B91" s="57"/>
    </row>
    <row r="92" spans="1:2" ht="15.75" x14ac:dyDescent="0.25">
      <c r="A92" s="131"/>
      <c r="B92" s="57"/>
    </row>
    <row r="93" spans="1:2" ht="15.75" x14ac:dyDescent="0.25">
      <c r="A93" s="129"/>
      <c r="B93" s="132"/>
    </row>
    <row r="94" spans="1:2" ht="15.75" x14ac:dyDescent="0.25">
      <c r="A94" s="130"/>
      <c r="B94" s="57"/>
    </row>
    <row r="95" spans="1:2" ht="15.75" x14ac:dyDescent="0.25">
      <c r="A95" s="130"/>
      <c r="B95" s="57"/>
    </row>
    <row r="96" spans="1:2" ht="15.75" x14ac:dyDescent="0.25">
      <c r="A96" s="131"/>
      <c r="B96" s="57"/>
    </row>
    <row r="97" spans="1:2" ht="15.75" x14ac:dyDescent="0.25">
      <c r="A97" s="129"/>
      <c r="B97" s="132"/>
    </row>
    <row r="98" spans="1:2" ht="15.75" x14ac:dyDescent="0.25">
      <c r="A98" s="130"/>
      <c r="B98" s="57"/>
    </row>
    <row r="99" spans="1:2" ht="15.75" x14ac:dyDescent="0.25">
      <c r="A99" s="130"/>
      <c r="B99" s="57"/>
    </row>
    <row r="100" spans="1:2" ht="15.75" x14ac:dyDescent="0.25">
      <c r="A100" s="131"/>
      <c r="B100" s="57"/>
    </row>
    <row r="101" spans="1:2" ht="15.75" x14ac:dyDescent="0.25">
      <c r="A101" s="131"/>
      <c r="B101" s="57"/>
    </row>
    <row r="102" spans="1:2" ht="15.75" x14ac:dyDescent="0.25">
      <c r="A102" s="128"/>
      <c r="B102" s="132"/>
    </row>
    <row r="103" spans="1:2" ht="15.75" x14ac:dyDescent="0.25">
      <c r="A103" s="130"/>
      <c r="B103" s="57"/>
    </row>
    <row r="104" spans="1:2" ht="15.75" x14ac:dyDescent="0.25">
      <c r="A104" s="130"/>
      <c r="B104" s="57"/>
    </row>
    <row r="105" spans="1:2" ht="15.75" x14ac:dyDescent="0.25">
      <c r="A105" s="129"/>
      <c r="B105" s="57"/>
    </row>
    <row r="106" spans="1:2" ht="15.75" x14ac:dyDescent="0.25">
      <c r="A106" s="130"/>
      <c r="B106" s="57"/>
    </row>
    <row r="107" spans="1:2" ht="15.75" x14ac:dyDescent="0.25">
      <c r="A107" s="130"/>
      <c r="B107" s="57"/>
    </row>
    <row r="108" spans="1:2" ht="15.75" x14ac:dyDescent="0.25">
      <c r="A108" s="129"/>
      <c r="B108" s="57"/>
    </row>
    <row r="109" spans="1:2" ht="15.75" x14ac:dyDescent="0.25">
      <c r="A109" s="129"/>
      <c r="B109" s="57"/>
    </row>
    <row r="110" spans="1:2" ht="15.75" x14ac:dyDescent="0.25">
      <c r="A110" s="131"/>
      <c r="B110" s="57"/>
    </row>
    <row r="111" spans="1:2" ht="15.75" x14ac:dyDescent="0.25">
      <c r="A111" s="131"/>
      <c r="B111" s="57"/>
    </row>
    <row r="112" spans="1:2" ht="15.75" x14ac:dyDescent="0.25">
      <c r="A112" s="133"/>
      <c r="B112" s="57"/>
    </row>
    <row r="113" spans="1:6" ht="15.75" x14ac:dyDescent="0.25">
      <c r="A113" s="134"/>
      <c r="B113" s="57"/>
    </row>
    <row r="114" spans="1:6" ht="15.75" x14ac:dyDescent="0.25">
      <c r="A114" s="134"/>
      <c r="B114" s="57"/>
    </row>
    <row r="115" spans="1:6" ht="15.75" x14ac:dyDescent="0.25">
      <c r="A115" s="133"/>
      <c r="B115" s="57"/>
    </row>
    <row r="116" spans="1:6" x14ac:dyDescent="0.25">
      <c r="A116" s="124"/>
      <c r="B116" s="124"/>
    </row>
    <row r="117" spans="1:6" ht="15.75" x14ac:dyDescent="0.25">
      <c r="A117" s="135"/>
      <c r="B117" s="124"/>
    </row>
    <row r="118" spans="1:6" ht="15.75" x14ac:dyDescent="0.25">
      <c r="A118" s="136"/>
      <c r="B118" s="122"/>
    </row>
    <row r="119" spans="1:6" ht="15.75" x14ac:dyDescent="0.25">
      <c r="A119" s="137"/>
      <c r="B119" s="122"/>
    </row>
    <row r="120" spans="1:6" ht="15.75" x14ac:dyDescent="0.25">
      <c r="A120" s="138"/>
      <c r="B120" s="122"/>
      <c r="E120" s="45"/>
      <c r="F120" s="64"/>
    </row>
    <row r="121" spans="1:6" ht="15.75" x14ac:dyDescent="0.25">
      <c r="A121" s="138"/>
      <c r="B121" s="122"/>
    </row>
    <row r="122" spans="1:6" ht="15.75" x14ac:dyDescent="0.25">
      <c r="A122" s="138"/>
      <c r="B122" s="122"/>
    </row>
    <row r="123" spans="1:6" ht="15.75" x14ac:dyDescent="0.25">
      <c r="A123" s="137"/>
      <c r="B123" s="122"/>
    </row>
    <row r="124" spans="1:6" ht="15.75" x14ac:dyDescent="0.25">
      <c r="A124" s="131"/>
      <c r="B124" s="122"/>
    </row>
    <row r="125" spans="1:6" x14ac:dyDescent="0.25">
      <c r="A125" s="124"/>
      <c r="B125" s="124"/>
    </row>
    <row r="126" spans="1:6" ht="15.75" x14ac:dyDescent="0.25">
      <c r="A126" s="136"/>
      <c r="B126" s="122"/>
    </row>
    <row r="127" spans="1:6" ht="15.75" x14ac:dyDescent="0.25">
      <c r="A127" s="139"/>
      <c r="B127" s="122"/>
    </row>
    <row r="128" spans="1:6" ht="15.75" x14ac:dyDescent="0.25">
      <c r="A128" s="139"/>
      <c r="B128" s="122"/>
    </row>
    <row r="129" spans="1:2" ht="15.75" x14ac:dyDescent="0.25">
      <c r="A129" s="129"/>
      <c r="B129" s="127"/>
    </row>
    <row r="130" spans="1:2" ht="15.75" x14ac:dyDescent="0.25">
      <c r="A130" s="129"/>
      <c r="B130" s="122"/>
    </row>
    <row r="131" spans="1:2" ht="15.75" x14ac:dyDescent="0.25">
      <c r="A131" s="129"/>
      <c r="B131" s="122"/>
    </row>
    <row r="132" spans="1:2" ht="15.75" x14ac:dyDescent="0.25">
      <c r="A132" s="138"/>
      <c r="B132" s="122"/>
    </row>
    <row r="133" spans="1:2" ht="15.75" x14ac:dyDescent="0.25">
      <c r="A133" s="138"/>
      <c r="B133" s="122"/>
    </row>
    <row r="134" spans="1:2" ht="15.75" x14ac:dyDescent="0.25">
      <c r="A134" s="138"/>
      <c r="B134" s="122"/>
    </row>
    <row r="135" spans="1:2" ht="15.75" x14ac:dyDescent="0.25">
      <c r="A135" s="140"/>
      <c r="B135" s="122"/>
    </row>
    <row r="136" spans="1:2" ht="15.75" x14ac:dyDescent="0.25">
      <c r="A136" s="131"/>
      <c r="B136" s="122"/>
    </row>
    <row r="137" spans="1:2" ht="15.75" x14ac:dyDescent="0.25">
      <c r="A137" s="129"/>
      <c r="B137" s="122"/>
    </row>
    <row r="138" spans="1:2" ht="15.75" x14ac:dyDescent="0.25">
      <c r="A138" s="138"/>
      <c r="B138" s="122"/>
    </row>
    <row r="139" spans="1:2" ht="15.75" x14ac:dyDescent="0.25">
      <c r="A139" s="138"/>
      <c r="B139" s="122"/>
    </row>
    <row r="140" spans="1:2" ht="15.75" x14ac:dyDescent="0.25">
      <c r="A140" s="138"/>
      <c r="B140" s="122"/>
    </row>
    <row r="141" spans="1:2" ht="15.75" x14ac:dyDescent="0.25">
      <c r="A141" s="131"/>
      <c r="B141" s="122"/>
    </row>
    <row r="142" spans="1:2" ht="15.75" x14ac:dyDescent="0.25">
      <c r="A142" s="133"/>
      <c r="B142" s="122"/>
    </row>
    <row r="143" spans="1:2" ht="15.75" x14ac:dyDescent="0.25">
      <c r="A143" s="129"/>
      <c r="B143" s="122"/>
    </row>
    <row r="144" spans="1:2" ht="15.75" x14ac:dyDescent="0.25">
      <c r="A144" s="130"/>
      <c r="B144" s="122"/>
    </row>
    <row r="145" spans="1:2" ht="15.75" x14ac:dyDescent="0.25">
      <c r="A145" s="138"/>
      <c r="B145" s="122"/>
    </row>
    <row r="146" spans="1:2" ht="15.75" x14ac:dyDescent="0.25">
      <c r="A146" s="133"/>
      <c r="B146" s="122"/>
    </row>
    <row r="147" spans="1:2" ht="15.75" x14ac:dyDescent="0.25">
      <c r="A147" s="129"/>
      <c r="B147" s="122"/>
    </row>
    <row r="148" spans="1:2" ht="15.75" x14ac:dyDescent="0.25">
      <c r="A148" s="130"/>
      <c r="B148" s="122"/>
    </row>
    <row r="149" spans="1:2" ht="15.75" x14ac:dyDescent="0.25">
      <c r="A149" s="138"/>
      <c r="B149" s="122"/>
    </row>
    <row r="150" spans="1:2" ht="15.75" x14ac:dyDescent="0.25">
      <c r="A150" s="133"/>
      <c r="B150" s="122"/>
    </row>
    <row r="151" spans="1:2" ht="15.75" x14ac:dyDescent="0.25">
      <c r="A151" s="133"/>
      <c r="B151" s="122"/>
    </row>
    <row r="152" spans="1:2" ht="15.75" x14ac:dyDescent="0.25">
      <c r="A152" s="141"/>
      <c r="B152" s="122"/>
    </row>
    <row r="153" spans="1:2" x14ac:dyDescent="0.25">
      <c r="A153" s="124"/>
      <c r="B153" s="124"/>
    </row>
    <row r="154" spans="1:2" ht="15.75" x14ac:dyDescent="0.25">
      <c r="A154" s="142"/>
      <c r="B154" s="143"/>
    </row>
    <row r="155" spans="1:2" x14ac:dyDescent="0.25">
      <c r="A155" s="124"/>
      <c r="B155" s="124"/>
    </row>
    <row r="156" spans="1:2" ht="15.75" x14ac:dyDescent="0.25">
      <c r="A156" s="134"/>
      <c r="B156" s="124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O47"/>
  <sheetViews>
    <sheetView zoomScale="85" zoomScaleNormal="85" workbookViewId="0">
      <selection activeCell="A10" sqref="A10:XFD47"/>
    </sheetView>
  </sheetViews>
  <sheetFormatPr defaultRowHeight="15" x14ac:dyDescent="0.2"/>
  <cols>
    <col min="1" max="1" width="9.140625" style="1"/>
    <col min="2" max="2" width="57.28515625" style="1" bestFit="1" customWidth="1"/>
    <col min="3" max="9" width="13.42578125" style="1" customWidth="1"/>
    <col min="10" max="10" width="14.28515625" style="1" customWidth="1"/>
    <col min="11" max="14" width="16" style="1" customWidth="1"/>
    <col min="15" max="15" width="15.5703125" style="1" bestFit="1" customWidth="1"/>
    <col min="16" max="260" width="9.140625" style="1"/>
    <col min="261" max="261" width="57.28515625" style="1" bestFit="1" customWidth="1"/>
    <col min="262" max="265" width="13.42578125" style="1" customWidth="1"/>
    <col min="266" max="266" width="14.28515625" style="1" customWidth="1"/>
    <col min="267" max="270" width="16" style="1" customWidth="1"/>
    <col min="271" max="271" width="11" style="1" bestFit="1" customWidth="1"/>
    <col min="272" max="516" width="9.140625" style="1"/>
    <col min="517" max="517" width="57.28515625" style="1" bestFit="1" customWidth="1"/>
    <col min="518" max="521" width="13.42578125" style="1" customWidth="1"/>
    <col min="522" max="522" width="14.28515625" style="1" customWidth="1"/>
    <col min="523" max="526" width="16" style="1" customWidth="1"/>
    <col min="527" max="527" width="11" style="1" bestFit="1" customWidth="1"/>
    <col min="528" max="772" width="9.140625" style="1"/>
    <col min="773" max="773" width="57.28515625" style="1" bestFit="1" customWidth="1"/>
    <col min="774" max="777" width="13.42578125" style="1" customWidth="1"/>
    <col min="778" max="778" width="14.28515625" style="1" customWidth="1"/>
    <col min="779" max="782" width="16" style="1" customWidth="1"/>
    <col min="783" max="783" width="11" style="1" bestFit="1" customWidth="1"/>
    <col min="784" max="1028" width="9.140625" style="1"/>
    <col min="1029" max="1029" width="57.28515625" style="1" bestFit="1" customWidth="1"/>
    <col min="1030" max="1033" width="13.42578125" style="1" customWidth="1"/>
    <col min="1034" max="1034" width="14.28515625" style="1" customWidth="1"/>
    <col min="1035" max="1038" width="16" style="1" customWidth="1"/>
    <col min="1039" max="1039" width="11" style="1" bestFit="1" customWidth="1"/>
    <col min="1040" max="1284" width="9.140625" style="1"/>
    <col min="1285" max="1285" width="57.28515625" style="1" bestFit="1" customWidth="1"/>
    <col min="1286" max="1289" width="13.42578125" style="1" customWidth="1"/>
    <col min="1290" max="1290" width="14.28515625" style="1" customWidth="1"/>
    <col min="1291" max="1294" width="16" style="1" customWidth="1"/>
    <col min="1295" max="1295" width="11" style="1" bestFit="1" customWidth="1"/>
    <col min="1296" max="1540" width="9.140625" style="1"/>
    <col min="1541" max="1541" width="57.28515625" style="1" bestFit="1" customWidth="1"/>
    <col min="1542" max="1545" width="13.42578125" style="1" customWidth="1"/>
    <col min="1546" max="1546" width="14.28515625" style="1" customWidth="1"/>
    <col min="1547" max="1550" width="16" style="1" customWidth="1"/>
    <col min="1551" max="1551" width="11" style="1" bestFit="1" customWidth="1"/>
    <col min="1552" max="1796" width="9.140625" style="1"/>
    <col min="1797" max="1797" width="57.28515625" style="1" bestFit="1" customWidth="1"/>
    <col min="1798" max="1801" width="13.42578125" style="1" customWidth="1"/>
    <col min="1802" max="1802" width="14.28515625" style="1" customWidth="1"/>
    <col min="1803" max="1806" width="16" style="1" customWidth="1"/>
    <col min="1807" max="1807" width="11" style="1" bestFit="1" customWidth="1"/>
    <col min="1808" max="2052" width="9.140625" style="1"/>
    <col min="2053" max="2053" width="57.28515625" style="1" bestFit="1" customWidth="1"/>
    <col min="2054" max="2057" width="13.42578125" style="1" customWidth="1"/>
    <col min="2058" max="2058" width="14.28515625" style="1" customWidth="1"/>
    <col min="2059" max="2062" width="16" style="1" customWidth="1"/>
    <col min="2063" max="2063" width="11" style="1" bestFit="1" customWidth="1"/>
    <col min="2064" max="2308" width="9.140625" style="1"/>
    <col min="2309" max="2309" width="57.28515625" style="1" bestFit="1" customWidth="1"/>
    <col min="2310" max="2313" width="13.42578125" style="1" customWidth="1"/>
    <col min="2314" max="2314" width="14.28515625" style="1" customWidth="1"/>
    <col min="2315" max="2318" width="16" style="1" customWidth="1"/>
    <col min="2319" max="2319" width="11" style="1" bestFit="1" customWidth="1"/>
    <col min="2320" max="2564" width="9.140625" style="1"/>
    <col min="2565" max="2565" width="57.28515625" style="1" bestFit="1" customWidth="1"/>
    <col min="2566" max="2569" width="13.42578125" style="1" customWidth="1"/>
    <col min="2570" max="2570" width="14.28515625" style="1" customWidth="1"/>
    <col min="2571" max="2574" width="16" style="1" customWidth="1"/>
    <col min="2575" max="2575" width="11" style="1" bestFit="1" customWidth="1"/>
    <col min="2576" max="2820" width="9.140625" style="1"/>
    <col min="2821" max="2821" width="57.28515625" style="1" bestFit="1" customWidth="1"/>
    <col min="2822" max="2825" width="13.42578125" style="1" customWidth="1"/>
    <col min="2826" max="2826" width="14.28515625" style="1" customWidth="1"/>
    <col min="2827" max="2830" width="16" style="1" customWidth="1"/>
    <col min="2831" max="2831" width="11" style="1" bestFit="1" customWidth="1"/>
    <col min="2832" max="3076" width="9.140625" style="1"/>
    <col min="3077" max="3077" width="57.28515625" style="1" bestFit="1" customWidth="1"/>
    <col min="3078" max="3081" width="13.42578125" style="1" customWidth="1"/>
    <col min="3082" max="3082" width="14.28515625" style="1" customWidth="1"/>
    <col min="3083" max="3086" width="16" style="1" customWidth="1"/>
    <col min="3087" max="3087" width="11" style="1" bestFit="1" customWidth="1"/>
    <col min="3088" max="3332" width="9.140625" style="1"/>
    <col min="3333" max="3333" width="57.28515625" style="1" bestFit="1" customWidth="1"/>
    <col min="3334" max="3337" width="13.42578125" style="1" customWidth="1"/>
    <col min="3338" max="3338" width="14.28515625" style="1" customWidth="1"/>
    <col min="3339" max="3342" width="16" style="1" customWidth="1"/>
    <col min="3343" max="3343" width="11" style="1" bestFit="1" customWidth="1"/>
    <col min="3344" max="3588" width="9.140625" style="1"/>
    <col min="3589" max="3589" width="57.28515625" style="1" bestFit="1" customWidth="1"/>
    <col min="3590" max="3593" width="13.42578125" style="1" customWidth="1"/>
    <col min="3594" max="3594" width="14.28515625" style="1" customWidth="1"/>
    <col min="3595" max="3598" width="16" style="1" customWidth="1"/>
    <col min="3599" max="3599" width="11" style="1" bestFit="1" customWidth="1"/>
    <col min="3600" max="3844" width="9.140625" style="1"/>
    <col min="3845" max="3845" width="57.28515625" style="1" bestFit="1" customWidth="1"/>
    <col min="3846" max="3849" width="13.42578125" style="1" customWidth="1"/>
    <col min="3850" max="3850" width="14.28515625" style="1" customWidth="1"/>
    <col min="3851" max="3854" width="16" style="1" customWidth="1"/>
    <col min="3855" max="3855" width="11" style="1" bestFit="1" customWidth="1"/>
    <col min="3856" max="4100" width="9.140625" style="1"/>
    <col min="4101" max="4101" width="57.28515625" style="1" bestFit="1" customWidth="1"/>
    <col min="4102" max="4105" width="13.42578125" style="1" customWidth="1"/>
    <col min="4106" max="4106" width="14.28515625" style="1" customWidth="1"/>
    <col min="4107" max="4110" width="16" style="1" customWidth="1"/>
    <col min="4111" max="4111" width="11" style="1" bestFit="1" customWidth="1"/>
    <col min="4112" max="4356" width="9.140625" style="1"/>
    <col min="4357" max="4357" width="57.28515625" style="1" bestFit="1" customWidth="1"/>
    <col min="4358" max="4361" width="13.42578125" style="1" customWidth="1"/>
    <col min="4362" max="4362" width="14.28515625" style="1" customWidth="1"/>
    <col min="4363" max="4366" width="16" style="1" customWidth="1"/>
    <col min="4367" max="4367" width="11" style="1" bestFit="1" customWidth="1"/>
    <col min="4368" max="4612" width="9.140625" style="1"/>
    <col min="4613" max="4613" width="57.28515625" style="1" bestFit="1" customWidth="1"/>
    <col min="4614" max="4617" width="13.42578125" style="1" customWidth="1"/>
    <col min="4618" max="4618" width="14.28515625" style="1" customWidth="1"/>
    <col min="4619" max="4622" width="16" style="1" customWidth="1"/>
    <col min="4623" max="4623" width="11" style="1" bestFit="1" customWidth="1"/>
    <col min="4624" max="4868" width="9.140625" style="1"/>
    <col min="4869" max="4869" width="57.28515625" style="1" bestFit="1" customWidth="1"/>
    <col min="4870" max="4873" width="13.42578125" style="1" customWidth="1"/>
    <col min="4874" max="4874" width="14.28515625" style="1" customWidth="1"/>
    <col min="4875" max="4878" width="16" style="1" customWidth="1"/>
    <col min="4879" max="4879" width="11" style="1" bestFit="1" customWidth="1"/>
    <col min="4880" max="5124" width="9.140625" style="1"/>
    <col min="5125" max="5125" width="57.28515625" style="1" bestFit="1" customWidth="1"/>
    <col min="5126" max="5129" width="13.42578125" style="1" customWidth="1"/>
    <col min="5130" max="5130" width="14.28515625" style="1" customWidth="1"/>
    <col min="5131" max="5134" width="16" style="1" customWidth="1"/>
    <col min="5135" max="5135" width="11" style="1" bestFit="1" customWidth="1"/>
    <col min="5136" max="5380" width="9.140625" style="1"/>
    <col min="5381" max="5381" width="57.28515625" style="1" bestFit="1" customWidth="1"/>
    <col min="5382" max="5385" width="13.42578125" style="1" customWidth="1"/>
    <col min="5386" max="5386" width="14.28515625" style="1" customWidth="1"/>
    <col min="5387" max="5390" width="16" style="1" customWidth="1"/>
    <col min="5391" max="5391" width="11" style="1" bestFit="1" customWidth="1"/>
    <col min="5392" max="5636" width="9.140625" style="1"/>
    <col min="5637" max="5637" width="57.28515625" style="1" bestFit="1" customWidth="1"/>
    <col min="5638" max="5641" width="13.42578125" style="1" customWidth="1"/>
    <col min="5642" max="5642" width="14.28515625" style="1" customWidth="1"/>
    <col min="5643" max="5646" width="16" style="1" customWidth="1"/>
    <col min="5647" max="5647" width="11" style="1" bestFit="1" customWidth="1"/>
    <col min="5648" max="5892" width="9.140625" style="1"/>
    <col min="5893" max="5893" width="57.28515625" style="1" bestFit="1" customWidth="1"/>
    <col min="5894" max="5897" width="13.42578125" style="1" customWidth="1"/>
    <col min="5898" max="5898" width="14.28515625" style="1" customWidth="1"/>
    <col min="5899" max="5902" width="16" style="1" customWidth="1"/>
    <col min="5903" max="5903" width="11" style="1" bestFit="1" customWidth="1"/>
    <col min="5904" max="6148" width="9.140625" style="1"/>
    <col min="6149" max="6149" width="57.28515625" style="1" bestFit="1" customWidth="1"/>
    <col min="6150" max="6153" width="13.42578125" style="1" customWidth="1"/>
    <col min="6154" max="6154" width="14.28515625" style="1" customWidth="1"/>
    <col min="6155" max="6158" width="16" style="1" customWidth="1"/>
    <col min="6159" max="6159" width="11" style="1" bestFit="1" customWidth="1"/>
    <col min="6160" max="6404" width="9.140625" style="1"/>
    <col min="6405" max="6405" width="57.28515625" style="1" bestFit="1" customWidth="1"/>
    <col min="6406" max="6409" width="13.42578125" style="1" customWidth="1"/>
    <col min="6410" max="6410" width="14.28515625" style="1" customWidth="1"/>
    <col min="6411" max="6414" width="16" style="1" customWidth="1"/>
    <col min="6415" max="6415" width="11" style="1" bestFit="1" customWidth="1"/>
    <col min="6416" max="6660" width="9.140625" style="1"/>
    <col min="6661" max="6661" width="57.28515625" style="1" bestFit="1" customWidth="1"/>
    <col min="6662" max="6665" width="13.42578125" style="1" customWidth="1"/>
    <col min="6666" max="6666" width="14.28515625" style="1" customWidth="1"/>
    <col min="6667" max="6670" width="16" style="1" customWidth="1"/>
    <col min="6671" max="6671" width="11" style="1" bestFit="1" customWidth="1"/>
    <col min="6672" max="6916" width="9.140625" style="1"/>
    <col min="6917" max="6917" width="57.28515625" style="1" bestFit="1" customWidth="1"/>
    <col min="6918" max="6921" width="13.42578125" style="1" customWidth="1"/>
    <col min="6922" max="6922" width="14.28515625" style="1" customWidth="1"/>
    <col min="6923" max="6926" width="16" style="1" customWidth="1"/>
    <col min="6927" max="6927" width="11" style="1" bestFit="1" customWidth="1"/>
    <col min="6928" max="7172" width="9.140625" style="1"/>
    <col min="7173" max="7173" width="57.28515625" style="1" bestFit="1" customWidth="1"/>
    <col min="7174" max="7177" width="13.42578125" style="1" customWidth="1"/>
    <col min="7178" max="7178" width="14.28515625" style="1" customWidth="1"/>
    <col min="7179" max="7182" width="16" style="1" customWidth="1"/>
    <col min="7183" max="7183" width="11" style="1" bestFit="1" customWidth="1"/>
    <col min="7184" max="7428" width="9.140625" style="1"/>
    <col min="7429" max="7429" width="57.28515625" style="1" bestFit="1" customWidth="1"/>
    <col min="7430" max="7433" width="13.42578125" style="1" customWidth="1"/>
    <col min="7434" max="7434" width="14.28515625" style="1" customWidth="1"/>
    <col min="7435" max="7438" width="16" style="1" customWidth="1"/>
    <col min="7439" max="7439" width="11" style="1" bestFit="1" customWidth="1"/>
    <col min="7440" max="7684" width="9.140625" style="1"/>
    <col min="7685" max="7685" width="57.28515625" style="1" bestFit="1" customWidth="1"/>
    <col min="7686" max="7689" width="13.42578125" style="1" customWidth="1"/>
    <col min="7690" max="7690" width="14.28515625" style="1" customWidth="1"/>
    <col min="7691" max="7694" width="16" style="1" customWidth="1"/>
    <col min="7695" max="7695" width="11" style="1" bestFit="1" customWidth="1"/>
    <col min="7696" max="7940" width="9.140625" style="1"/>
    <col min="7941" max="7941" width="57.28515625" style="1" bestFit="1" customWidth="1"/>
    <col min="7942" max="7945" width="13.42578125" style="1" customWidth="1"/>
    <col min="7946" max="7946" width="14.28515625" style="1" customWidth="1"/>
    <col min="7947" max="7950" width="16" style="1" customWidth="1"/>
    <col min="7951" max="7951" width="11" style="1" bestFit="1" customWidth="1"/>
    <col min="7952" max="8196" width="9.140625" style="1"/>
    <col min="8197" max="8197" width="57.28515625" style="1" bestFit="1" customWidth="1"/>
    <col min="8198" max="8201" width="13.42578125" style="1" customWidth="1"/>
    <col min="8202" max="8202" width="14.28515625" style="1" customWidth="1"/>
    <col min="8203" max="8206" width="16" style="1" customWidth="1"/>
    <col min="8207" max="8207" width="11" style="1" bestFit="1" customWidth="1"/>
    <col min="8208" max="8452" width="9.140625" style="1"/>
    <col min="8453" max="8453" width="57.28515625" style="1" bestFit="1" customWidth="1"/>
    <col min="8454" max="8457" width="13.42578125" style="1" customWidth="1"/>
    <col min="8458" max="8458" width="14.28515625" style="1" customWidth="1"/>
    <col min="8459" max="8462" width="16" style="1" customWidth="1"/>
    <col min="8463" max="8463" width="11" style="1" bestFit="1" customWidth="1"/>
    <col min="8464" max="8708" width="9.140625" style="1"/>
    <col min="8709" max="8709" width="57.28515625" style="1" bestFit="1" customWidth="1"/>
    <col min="8710" max="8713" width="13.42578125" style="1" customWidth="1"/>
    <col min="8714" max="8714" width="14.28515625" style="1" customWidth="1"/>
    <col min="8715" max="8718" width="16" style="1" customWidth="1"/>
    <col min="8719" max="8719" width="11" style="1" bestFit="1" customWidth="1"/>
    <col min="8720" max="8964" width="9.140625" style="1"/>
    <col min="8965" max="8965" width="57.28515625" style="1" bestFit="1" customWidth="1"/>
    <col min="8966" max="8969" width="13.42578125" style="1" customWidth="1"/>
    <col min="8970" max="8970" width="14.28515625" style="1" customWidth="1"/>
    <col min="8971" max="8974" width="16" style="1" customWidth="1"/>
    <col min="8975" max="8975" width="11" style="1" bestFit="1" customWidth="1"/>
    <col min="8976" max="9220" width="9.140625" style="1"/>
    <col min="9221" max="9221" width="57.28515625" style="1" bestFit="1" customWidth="1"/>
    <col min="9222" max="9225" width="13.42578125" style="1" customWidth="1"/>
    <col min="9226" max="9226" width="14.28515625" style="1" customWidth="1"/>
    <col min="9227" max="9230" width="16" style="1" customWidth="1"/>
    <col min="9231" max="9231" width="11" style="1" bestFit="1" customWidth="1"/>
    <col min="9232" max="9476" width="9.140625" style="1"/>
    <col min="9477" max="9477" width="57.28515625" style="1" bestFit="1" customWidth="1"/>
    <col min="9478" max="9481" width="13.42578125" style="1" customWidth="1"/>
    <col min="9482" max="9482" width="14.28515625" style="1" customWidth="1"/>
    <col min="9483" max="9486" width="16" style="1" customWidth="1"/>
    <col min="9487" max="9487" width="11" style="1" bestFit="1" customWidth="1"/>
    <col min="9488" max="9732" width="9.140625" style="1"/>
    <col min="9733" max="9733" width="57.28515625" style="1" bestFit="1" customWidth="1"/>
    <col min="9734" max="9737" width="13.42578125" style="1" customWidth="1"/>
    <col min="9738" max="9738" width="14.28515625" style="1" customWidth="1"/>
    <col min="9739" max="9742" width="16" style="1" customWidth="1"/>
    <col min="9743" max="9743" width="11" style="1" bestFit="1" customWidth="1"/>
    <col min="9744" max="9988" width="9.140625" style="1"/>
    <col min="9989" max="9989" width="57.28515625" style="1" bestFit="1" customWidth="1"/>
    <col min="9990" max="9993" width="13.42578125" style="1" customWidth="1"/>
    <col min="9994" max="9994" width="14.28515625" style="1" customWidth="1"/>
    <col min="9995" max="9998" width="16" style="1" customWidth="1"/>
    <col min="9999" max="9999" width="11" style="1" bestFit="1" customWidth="1"/>
    <col min="10000" max="10244" width="9.140625" style="1"/>
    <col min="10245" max="10245" width="57.28515625" style="1" bestFit="1" customWidth="1"/>
    <col min="10246" max="10249" width="13.42578125" style="1" customWidth="1"/>
    <col min="10250" max="10250" width="14.28515625" style="1" customWidth="1"/>
    <col min="10251" max="10254" width="16" style="1" customWidth="1"/>
    <col min="10255" max="10255" width="11" style="1" bestFit="1" customWidth="1"/>
    <col min="10256" max="10500" width="9.140625" style="1"/>
    <col min="10501" max="10501" width="57.28515625" style="1" bestFit="1" customWidth="1"/>
    <col min="10502" max="10505" width="13.42578125" style="1" customWidth="1"/>
    <col min="10506" max="10506" width="14.28515625" style="1" customWidth="1"/>
    <col min="10507" max="10510" width="16" style="1" customWidth="1"/>
    <col min="10511" max="10511" width="11" style="1" bestFit="1" customWidth="1"/>
    <col min="10512" max="10756" width="9.140625" style="1"/>
    <col min="10757" max="10757" width="57.28515625" style="1" bestFit="1" customWidth="1"/>
    <col min="10758" max="10761" width="13.42578125" style="1" customWidth="1"/>
    <col min="10762" max="10762" width="14.28515625" style="1" customWidth="1"/>
    <col min="10763" max="10766" width="16" style="1" customWidth="1"/>
    <col min="10767" max="10767" width="11" style="1" bestFit="1" customWidth="1"/>
    <col min="10768" max="11012" width="9.140625" style="1"/>
    <col min="11013" max="11013" width="57.28515625" style="1" bestFit="1" customWidth="1"/>
    <col min="11014" max="11017" width="13.42578125" style="1" customWidth="1"/>
    <col min="11018" max="11018" width="14.28515625" style="1" customWidth="1"/>
    <col min="11019" max="11022" width="16" style="1" customWidth="1"/>
    <col min="11023" max="11023" width="11" style="1" bestFit="1" customWidth="1"/>
    <col min="11024" max="11268" width="9.140625" style="1"/>
    <col min="11269" max="11269" width="57.28515625" style="1" bestFit="1" customWidth="1"/>
    <col min="11270" max="11273" width="13.42578125" style="1" customWidth="1"/>
    <col min="11274" max="11274" width="14.28515625" style="1" customWidth="1"/>
    <col min="11275" max="11278" width="16" style="1" customWidth="1"/>
    <col min="11279" max="11279" width="11" style="1" bestFit="1" customWidth="1"/>
    <col min="11280" max="11524" width="9.140625" style="1"/>
    <col min="11525" max="11525" width="57.28515625" style="1" bestFit="1" customWidth="1"/>
    <col min="11526" max="11529" width="13.42578125" style="1" customWidth="1"/>
    <col min="11530" max="11530" width="14.28515625" style="1" customWidth="1"/>
    <col min="11531" max="11534" width="16" style="1" customWidth="1"/>
    <col min="11535" max="11535" width="11" style="1" bestFit="1" customWidth="1"/>
    <col min="11536" max="11780" width="9.140625" style="1"/>
    <col min="11781" max="11781" width="57.28515625" style="1" bestFit="1" customWidth="1"/>
    <col min="11782" max="11785" width="13.42578125" style="1" customWidth="1"/>
    <col min="11786" max="11786" width="14.28515625" style="1" customWidth="1"/>
    <col min="11787" max="11790" width="16" style="1" customWidth="1"/>
    <col min="11791" max="11791" width="11" style="1" bestFit="1" customWidth="1"/>
    <col min="11792" max="12036" width="9.140625" style="1"/>
    <col min="12037" max="12037" width="57.28515625" style="1" bestFit="1" customWidth="1"/>
    <col min="12038" max="12041" width="13.42578125" style="1" customWidth="1"/>
    <col min="12042" max="12042" width="14.28515625" style="1" customWidth="1"/>
    <col min="12043" max="12046" width="16" style="1" customWidth="1"/>
    <col min="12047" max="12047" width="11" style="1" bestFit="1" customWidth="1"/>
    <col min="12048" max="12292" width="9.140625" style="1"/>
    <col min="12293" max="12293" width="57.28515625" style="1" bestFit="1" customWidth="1"/>
    <col min="12294" max="12297" width="13.42578125" style="1" customWidth="1"/>
    <col min="12298" max="12298" width="14.28515625" style="1" customWidth="1"/>
    <col min="12299" max="12302" width="16" style="1" customWidth="1"/>
    <col min="12303" max="12303" width="11" style="1" bestFit="1" customWidth="1"/>
    <col min="12304" max="12548" width="9.140625" style="1"/>
    <col min="12549" max="12549" width="57.28515625" style="1" bestFit="1" customWidth="1"/>
    <col min="12550" max="12553" width="13.42578125" style="1" customWidth="1"/>
    <col min="12554" max="12554" width="14.28515625" style="1" customWidth="1"/>
    <col min="12555" max="12558" width="16" style="1" customWidth="1"/>
    <col min="12559" max="12559" width="11" style="1" bestFit="1" customWidth="1"/>
    <col min="12560" max="12804" width="9.140625" style="1"/>
    <col min="12805" max="12805" width="57.28515625" style="1" bestFit="1" customWidth="1"/>
    <col min="12806" max="12809" width="13.42578125" style="1" customWidth="1"/>
    <col min="12810" max="12810" width="14.28515625" style="1" customWidth="1"/>
    <col min="12811" max="12814" width="16" style="1" customWidth="1"/>
    <col min="12815" max="12815" width="11" style="1" bestFit="1" customWidth="1"/>
    <col min="12816" max="13060" width="9.140625" style="1"/>
    <col min="13061" max="13061" width="57.28515625" style="1" bestFit="1" customWidth="1"/>
    <col min="13062" max="13065" width="13.42578125" style="1" customWidth="1"/>
    <col min="13066" max="13066" width="14.28515625" style="1" customWidth="1"/>
    <col min="13067" max="13070" width="16" style="1" customWidth="1"/>
    <col min="13071" max="13071" width="11" style="1" bestFit="1" customWidth="1"/>
    <col min="13072" max="13316" width="9.140625" style="1"/>
    <col min="13317" max="13317" width="57.28515625" style="1" bestFit="1" customWidth="1"/>
    <col min="13318" max="13321" width="13.42578125" style="1" customWidth="1"/>
    <col min="13322" max="13322" width="14.28515625" style="1" customWidth="1"/>
    <col min="13323" max="13326" width="16" style="1" customWidth="1"/>
    <col min="13327" max="13327" width="11" style="1" bestFit="1" customWidth="1"/>
    <col min="13328" max="13572" width="9.140625" style="1"/>
    <col min="13573" max="13573" width="57.28515625" style="1" bestFit="1" customWidth="1"/>
    <col min="13574" max="13577" width="13.42578125" style="1" customWidth="1"/>
    <col min="13578" max="13578" width="14.28515625" style="1" customWidth="1"/>
    <col min="13579" max="13582" width="16" style="1" customWidth="1"/>
    <col min="13583" max="13583" width="11" style="1" bestFit="1" customWidth="1"/>
    <col min="13584" max="13828" width="9.140625" style="1"/>
    <col min="13829" max="13829" width="57.28515625" style="1" bestFit="1" customWidth="1"/>
    <col min="13830" max="13833" width="13.42578125" style="1" customWidth="1"/>
    <col min="13834" max="13834" width="14.28515625" style="1" customWidth="1"/>
    <col min="13835" max="13838" width="16" style="1" customWidth="1"/>
    <col min="13839" max="13839" width="11" style="1" bestFit="1" customWidth="1"/>
    <col min="13840" max="14084" width="9.140625" style="1"/>
    <col min="14085" max="14085" width="57.28515625" style="1" bestFit="1" customWidth="1"/>
    <col min="14086" max="14089" width="13.42578125" style="1" customWidth="1"/>
    <col min="14090" max="14090" width="14.28515625" style="1" customWidth="1"/>
    <col min="14091" max="14094" width="16" style="1" customWidth="1"/>
    <col min="14095" max="14095" width="11" style="1" bestFit="1" customWidth="1"/>
    <col min="14096" max="14340" width="9.140625" style="1"/>
    <col min="14341" max="14341" width="57.28515625" style="1" bestFit="1" customWidth="1"/>
    <col min="14342" max="14345" width="13.42578125" style="1" customWidth="1"/>
    <col min="14346" max="14346" width="14.28515625" style="1" customWidth="1"/>
    <col min="14347" max="14350" width="16" style="1" customWidth="1"/>
    <col min="14351" max="14351" width="11" style="1" bestFit="1" customWidth="1"/>
    <col min="14352" max="14596" width="9.140625" style="1"/>
    <col min="14597" max="14597" width="57.28515625" style="1" bestFit="1" customWidth="1"/>
    <col min="14598" max="14601" width="13.42578125" style="1" customWidth="1"/>
    <col min="14602" max="14602" width="14.28515625" style="1" customWidth="1"/>
    <col min="14603" max="14606" width="16" style="1" customWidth="1"/>
    <col min="14607" max="14607" width="11" style="1" bestFit="1" customWidth="1"/>
    <col min="14608" max="14852" width="9.140625" style="1"/>
    <col min="14853" max="14853" width="57.28515625" style="1" bestFit="1" customWidth="1"/>
    <col min="14854" max="14857" width="13.42578125" style="1" customWidth="1"/>
    <col min="14858" max="14858" width="14.28515625" style="1" customWidth="1"/>
    <col min="14859" max="14862" width="16" style="1" customWidth="1"/>
    <col min="14863" max="14863" width="11" style="1" bestFit="1" customWidth="1"/>
    <col min="14864" max="15108" width="9.140625" style="1"/>
    <col min="15109" max="15109" width="57.28515625" style="1" bestFit="1" customWidth="1"/>
    <col min="15110" max="15113" width="13.42578125" style="1" customWidth="1"/>
    <col min="15114" max="15114" width="14.28515625" style="1" customWidth="1"/>
    <col min="15115" max="15118" width="16" style="1" customWidth="1"/>
    <col min="15119" max="15119" width="11" style="1" bestFit="1" customWidth="1"/>
    <col min="15120" max="15364" width="9.140625" style="1"/>
    <col min="15365" max="15365" width="57.28515625" style="1" bestFit="1" customWidth="1"/>
    <col min="15366" max="15369" width="13.42578125" style="1" customWidth="1"/>
    <col min="15370" max="15370" width="14.28515625" style="1" customWidth="1"/>
    <col min="15371" max="15374" width="16" style="1" customWidth="1"/>
    <col min="15375" max="15375" width="11" style="1" bestFit="1" customWidth="1"/>
    <col min="15376" max="15620" width="9.140625" style="1"/>
    <col min="15621" max="15621" width="57.28515625" style="1" bestFit="1" customWidth="1"/>
    <col min="15622" max="15625" width="13.42578125" style="1" customWidth="1"/>
    <col min="15626" max="15626" width="14.28515625" style="1" customWidth="1"/>
    <col min="15627" max="15630" width="16" style="1" customWidth="1"/>
    <col min="15631" max="15631" width="11" style="1" bestFit="1" customWidth="1"/>
    <col min="15632" max="15876" width="9.140625" style="1"/>
    <col min="15877" max="15877" width="57.28515625" style="1" bestFit="1" customWidth="1"/>
    <col min="15878" max="15881" width="13.42578125" style="1" customWidth="1"/>
    <col min="15882" max="15882" width="14.28515625" style="1" customWidth="1"/>
    <col min="15883" max="15886" width="16" style="1" customWidth="1"/>
    <col min="15887" max="15887" width="11" style="1" bestFit="1" customWidth="1"/>
    <col min="15888" max="16132" width="9.140625" style="1"/>
    <col min="16133" max="16133" width="57.28515625" style="1" bestFit="1" customWidth="1"/>
    <col min="16134" max="16137" width="13.42578125" style="1" customWidth="1"/>
    <col min="16138" max="16138" width="14.28515625" style="1" customWidth="1"/>
    <col min="16139" max="16142" width="16" style="1" customWidth="1"/>
    <col min="16143" max="16143" width="11" style="1" bestFit="1" customWidth="1"/>
    <col min="16144" max="16384" width="9.140625" style="1"/>
  </cols>
  <sheetData>
    <row r="2" spans="2:15" ht="30" customHeight="1" x14ac:dyDescent="0.2">
      <c r="D2" s="295" t="s">
        <v>1</v>
      </c>
      <c r="E2" s="295"/>
      <c r="F2" s="295"/>
      <c r="G2" s="151"/>
      <c r="H2" s="151"/>
      <c r="I2" s="151"/>
    </row>
    <row r="3" spans="2:15" ht="75" x14ac:dyDescent="0.2">
      <c r="B3" s="2"/>
      <c r="C3" s="151" t="s">
        <v>2</v>
      </c>
      <c r="D3" s="151" t="s">
        <v>3</v>
      </c>
      <c r="E3" s="151" t="s">
        <v>4</v>
      </c>
      <c r="F3" s="151" t="s">
        <v>5</v>
      </c>
      <c r="G3" s="151" t="s">
        <v>191</v>
      </c>
      <c r="H3" s="151" t="s">
        <v>192</v>
      </c>
      <c r="I3" s="151" t="s">
        <v>193</v>
      </c>
      <c r="J3" s="151" t="s">
        <v>6</v>
      </c>
      <c r="K3" s="151" t="s">
        <v>7</v>
      </c>
      <c r="L3" s="151" t="s">
        <v>8</v>
      </c>
      <c r="M3" s="151" t="s">
        <v>9</v>
      </c>
      <c r="N3" s="151" t="s">
        <v>10</v>
      </c>
      <c r="O3" s="151" t="s">
        <v>11</v>
      </c>
    </row>
    <row r="4" spans="2:15" x14ac:dyDescent="0.2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5" x14ac:dyDescent="0.2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5" x14ac:dyDescent="0.2"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2:15" x14ac:dyDescent="0.2"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2:15" ht="15.75" x14ac:dyDescent="0.25">
      <c r="B8" s="320" t="s">
        <v>257</v>
      </c>
    </row>
    <row r="9" spans="2:15" ht="15.75" x14ac:dyDescent="0.25">
      <c r="C9" s="6"/>
      <c r="D9" s="6"/>
      <c r="E9" s="6"/>
      <c r="F9" s="6"/>
      <c r="G9" s="6"/>
      <c r="H9" s="6"/>
      <c r="I9" s="6"/>
    </row>
    <row r="10" spans="2:15" s="301" customFormat="1" x14ac:dyDescent="0.2">
      <c r="B10" s="336"/>
      <c r="C10" s="332"/>
      <c r="D10" s="332"/>
      <c r="E10" s="332"/>
      <c r="F10" s="332"/>
      <c r="G10" s="332"/>
      <c r="H10" s="332"/>
      <c r="I10" s="332"/>
      <c r="J10" s="304"/>
      <c r="K10" s="304"/>
      <c r="L10" s="304"/>
      <c r="M10" s="304"/>
      <c r="N10" s="304"/>
      <c r="O10" s="333"/>
    </row>
    <row r="11" spans="2:15" s="301" customFormat="1" x14ac:dyDescent="0.2">
      <c r="B11" s="337"/>
      <c r="C11" s="332"/>
      <c r="D11" s="332"/>
      <c r="E11" s="332"/>
      <c r="F11" s="332"/>
      <c r="G11" s="332"/>
      <c r="H11" s="332"/>
      <c r="I11" s="332"/>
      <c r="J11" s="304"/>
      <c r="K11" s="304"/>
      <c r="L11" s="304"/>
      <c r="M11" s="304"/>
      <c r="N11" s="304"/>
      <c r="O11" s="333"/>
    </row>
    <row r="12" spans="2:15" s="301" customFormat="1" ht="15.75" x14ac:dyDescent="0.25">
      <c r="B12" s="338"/>
      <c r="C12" s="333"/>
      <c r="D12" s="333"/>
      <c r="E12" s="333"/>
      <c r="F12" s="333"/>
      <c r="G12" s="333"/>
      <c r="H12" s="333"/>
      <c r="I12" s="333"/>
      <c r="O12" s="339"/>
    </row>
    <row r="13" spans="2:15" s="301" customFormat="1" x14ac:dyDescent="0.2"/>
    <row r="14" spans="2:15" s="301" customFormat="1" ht="15.75" x14ac:dyDescent="0.25">
      <c r="B14" s="340"/>
    </row>
    <row r="15" spans="2:15" s="301" customFormat="1" x14ac:dyDescent="0.2">
      <c r="B15" s="341"/>
      <c r="C15" s="332"/>
      <c r="O15" s="342"/>
    </row>
    <row r="16" spans="2:15" s="301" customFormat="1" x14ac:dyDescent="0.2">
      <c r="B16" s="341"/>
      <c r="C16" s="332"/>
      <c r="O16" s="342"/>
    </row>
    <row r="17" spans="2:15" s="301" customFormat="1" x14ac:dyDescent="0.2">
      <c r="B17" s="341"/>
      <c r="C17" s="332"/>
      <c r="O17" s="342"/>
    </row>
    <row r="18" spans="2:15" s="301" customFormat="1" x14ac:dyDescent="0.2">
      <c r="B18" s="341"/>
      <c r="C18" s="332"/>
      <c r="O18" s="342"/>
    </row>
    <row r="19" spans="2:15" s="301" customFormat="1" x14ac:dyDescent="0.2">
      <c r="B19" s="341"/>
      <c r="C19" s="332"/>
      <c r="O19" s="342"/>
    </row>
    <row r="20" spans="2:15" s="340" customFormat="1" ht="15.75" x14ac:dyDescent="0.25">
      <c r="B20" s="343"/>
      <c r="C20" s="344"/>
      <c r="O20" s="345"/>
    </row>
    <row r="21" spans="2:15" s="301" customFormat="1" ht="15.75" x14ac:dyDescent="0.25">
      <c r="B21" s="346"/>
      <c r="C21" s="332"/>
      <c r="O21" s="342"/>
    </row>
    <row r="22" spans="2:15" s="301" customFormat="1" x14ac:dyDescent="0.2">
      <c r="B22" s="337"/>
      <c r="C22" s="332"/>
      <c r="O22" s="342"/>
    </row>
    <row r="23" spans="2:15" s="301" customFormat="1" x14ac:dyDescent="0.2">
      <c r="B23" s="337"/>
      <c r="C23" s="332"/>
      <c r="G23" s="224"/>
      <c r="H23" s="224"/>
      <c r="I23" s="224"/>
      <c r="J23" s="224"/>
      <c r="K23" s="224"/>
      <c r="L23" s="224"/>
      <c r="O23" s="342"/>
    </row>
    <row r="24" spans="2:15" s="340" customFormat="1" ht="15.75" x14ac:dyDescent="0.25">
      <c r="B24" s="343"/>
      <c r="O24" s="345"/>
    </row>
    <row r="25" spans="2:15" s="301" customFormat="1" ht="15.75" x14ac:dyDescent="0.25">
      <c r="B25" s="347"/>
      <c r="O25" s="345"/>
    </row>
    <row r="26" spans="2:15" s="301" customFormat="1" x14ac:dyDescent="0.2">
      <c r="K26" s="224"/>
    </row>
    <row r="27" spans="2:15" s="301" customFormat="1" x14ac:dyDescent="0.2"/>
    <row r="28" spans="2:15" s="301" customFormat="1" x14ac:dyDescent="0.2"/>
    <row r="29" spans="2:15" s="301" customFormat="1" x14ac:dyDescent="0.2"/>
    <row r="30" spans="2:15" s="301" customFormat="1" x14ac:dyDescent="0.2">
      <c r="B30" s="348"/>
    </row>
    <row r="31" spans="2:15" s="301" customFormat="1" x14ac:dyDescent="0.2"/>
    <row r="32" spans="2:15" s="301" customFormat="1" x14ac:dyDescent="0.2">
      <c r="F32" s="349"/>
      <c r="G32" s="349"/>
      <c r="H32" s="349"/>
      <c r="I32" s="349"/>
    </row>
    <row r="33" spans="2:11" s="301" customFormat="1" x14ac:dyDescent="0.2">
      <c r="B33" s="334"/>
      <c r="C33" s="333"/>
      <c r="D33" s="333"/>
      <c r="F33" s="342"/>
      <c r="G33" s="350"/>
      <c r="H33" s="350"/>
      <c r="I33" s="342"/>
      <c r="J33" s="351"/>
      <c r="K33" s="352"/>
    </row>
    <row r="34" spans="2:11" s="301" customFormat="1" x14ac:dyDescent="0.2">
      <c r="B34" s="334"/>
      <c r="C34" s="333"/>
      <c r="D34" s="333"/>
      <c r="F34" s="342"/>
      <c r="G34" s="350"/>
      <c r="H34" s="350"/>
      <c r="I34" s="342"/>
      <c r="J34" s="351"/>
      <c r="K34" s="352"/>
    </row>
    <row r="35" spans="2:11" s="301" customFormat="1" x14ac:dyDescent="0.2">
      <c r="B35" s="334"/>
      <c r="C35" s="333"/>
      <c r="D35" s="333"/>
      <c r="F35" s="342"/>
      <c r="G35" s="350"/>
      <c r="H35" s="350"/>
      <c r="I35" s="342"/>
      <c r="J35" s="351"/>
      <c r="K35" s="352"/>
    </row>
    <row r="36" spans="2:11" s="301" customFormat="1" x14ac:dyDescent="0.2">
      <c r="B36" s="334"/>
      <c r="C36" s="333"/>
      <c r="D36" s="333"/>
      <c r="F36" s="342"/>
      <c r="G36" s="350"/>
      <c r="H36" s="350"/>
      <c r="I36" s="342"/>
      <c r="J36" s="351"/>
      <c r="K36" s="352"/>
    </row>
    <row r="37" spans="2:11" s="301" customFormat="1" x14ac:dyDescent="0.2">
      <c r="B37" s="334"/>
      <c r="F37" s="342"/>
      <c r="G37" s="353"/>
      <c r="H37" s="350"/>
      <c r="I37" s="342"/>
      <c r="K37" s="352"/>
    </row>
    <row r="38" spans="2:11" s="301" customFormat="1" x14ac:dyDescent="0.2">
      <c r="F38" s="342"/>
      <c r="G38" s="353"/>
      <c r="H38" s="350"/>
      <c r="I38" s="342"/>
      <c r="K38" s="352"/>
    </row>
    <row r="39" spans="2:11" s="301" customFormat="1" x14ac:dyDescent="0.2">
      <c r="B39" s="335"/>
      <c r="C39" s="333"/>
      <c r="D39" s="333"/>
      <c r="F39" s="342"/>
      <c r="G39" s="350"/>
      <c r="H39" s="350"/>
      <c r="I39" s="342"/>
      <c r="J39" s="351"/>
      <c r="K39" s="352"/>
    </row>
    <row r="40" spans="2:11" s="301" customFormat="1" x14ac:dyDescent="0.2">
      <c r="B40" s="335"/>
      <c r="C40" s="333"/>
      <c r="D40" s="333"/>
      <c r="F40" s="342"/>
      <c r="G40" s="350"/>
      <c r="H40" s="350"/>
      <c r="I40" s="342"/>
      <c r="J40" s="351"/>
      <c r="K40" s="352"/>
    </row>
    <row r="41" spans="2:11" s="301" customFormat="1" x14ac:dyDescent="0.2">
      <c r="B41" s="335"/>
      <c r="C41" s="333"/>
      <c r="D41" s="333"/>
      <c r="F41" s="342"/>
      <c r="I41" s="342"/>
      <c r="J41" s="351"/>
      <c r="K41" s="352"/>
    </row>
    <row r="42" spans="2:11" s="301" customFormat="1" x14ac:dyDescent="0.2">
      <c r="B42" s="335"/>
    </row>
    <row r="43" spans="2:11" s="301" customFormat="1" x14ac:dyDescent="0.2">
      <c r="C43" s="342"/>
    </row>
    <row r="44" spans="2:11" s="301" customFormat="1" x14ac:dyDescent="0.2">
      <c r="C44" s="333"/>
    </row>
    <row r="45" spans="2:11" s="301" customFormat="1" x14ac:dyDescent="0.2"/>
    <row r="46" spans="2:11" s="301" customFormat="1" x14ac:dyDescent="0.2"/>
    <row r="47" spans="2:11" s="301" customFormat="1" x14ac:dyDescent="0.2"/>
  </sheetData>
  <mergeCells count="1">
    <mergeCell ref="D2:F2"/>
  </mergeCell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56"/>
  <sheetViews>
    <sheetView zoomScaleNormal="100" workbookViewId="0">
      <selection activeCell="B9" sqref="B9"/>
    </sheetView>
  </sheetViews>
  <sheetFormatPr defaultRowHeight="15.75" x14ac:dyDescent="0.25"/>
  <cols>
    <col min="1" max="1" width="55.5703125" style="189" customWidth="1"/>
    <col min="2" max="2" width="17.85546875" style="214" customWidth="1"/>
    <col min="3" max="3" width="22.140625" style="59" bestFit="1" customWidth="1"/>
    <col min="4" max="4" width="56.5703125" bestFit="1" customWidth="1"/>
    <col min="5" max="5" width="15.5703125" style="189" bestFit="1" customWidth="1"/>
    <col min="6" max="257" width="9.140625" style="189"/>
    <col min="258" max="258" width="55.5703125" style="189" customWidth="1"/>
    <col min="259" max="259" width="17.7109375" style="189" customWidth="1"/>
    <col min="260" max="513" width="9.140625" style="189"/>
    <col min="514" max="514" width="55.5703125" style="189" customWidth="1"/>
    <col min="515" max="515" width="17.7109375" style="189" customWidth="1"/>
    <col min="516" max="769" width="9.140625" style="189"/>
    <col min="770" max="770" width="55.5703125" style="189" customWidth="1"/>
    <col min="771" max="771" width="17.7109375" style="189" customWidth="1"/>
    <col min="772" max="1025" width="9.140625" style="189"/>
    <col min="1026" max="1026" width="55.5703125" style="189" customWidth="1"/>
    <col min="1027" max="1027" width="17.7109375" style="189" customWidth="1"/>
    <col min="1028" max="1281" width="9.140625" style="189"/>
    <col min="1282" max="1282" width="55.5703125" style="189" customWidth="1"/>
    <col min="1283" max="1283" width="17.7109375" style="189" customWidth="1"/>
    <col min="1284" max="1537" width="9.140625" style="189"/>
    <col min="1538" max="1538" width="55.5703125" style="189" customWidth="1"/>
    <col min="1539" max="1539" width="17.7109375" style="189" customWidth="1"/>
    <col min="1540" max="1793" width="9.140625" style="189"/>
    <col min="1794" max="1794" width="55.5703125" style="189" customWidth="1"/>
    <col min="1795" max="1795" width="17.7109375" style="189" customWidth="1"/>
    <col min="1796" max="2049" width="9.140625" style="189"/>
    <col min="2050" max="2050" width="55.5703125" style="189" customWidth="1"/>
    <col min="2051" max="2051" width="17.7109375" style="189" customWidth="1"/>
    <col min="2052" max="2305" width="9.140625" style="189"/>
    <col min="2306" max="2306" width="55.5703125" style="189" customWidth="1"/>
    <col min="2307" max="2307" width="17.7109375" style="189" customWidth="1"/>
    <col min="2308" max="2561" width="9.140625" style="189"/>
    <col min="2562" max="2562" width="55.5703125" style="189" customWidth="1"/>
    <col min="2563" max="2563" width="17.7109375" style="189" customWidth="1"/>
    <col min="2564" max="2817" width="9.140625" style="189"/>
    <col min="2818" max="2818" width="55.5703125" style="189" customWidth="1"/>
    <col min="2819" max="2819" width="17.7109375" style="189" customWidth="1"/>
    <col min="2820" max="3073" width="9.140625" style="189"/>
    <col min="3074" max="3074" width="55.5703125" style="189" customWidth="1"/>
    <col min="3075" max="3075" width="17.7109375" style="189" customWidth="1"/>
    <col min="3076" max="3329" width="9.140625" style="189"/>
    <col min="3330" max="3330" width="55.5703125" style="189" customWidth="1"/>
    <col min="3331" max="3331" width="17.7109375" style="189" customWidth="1"/>
    <col min="3332" max="3585" width="9.140625" style="189"/>
    <col min="3586" max="3586" width="55.5703125" style="189" customWidth="1"/>
    <col min="3587" max="3587" width="17.7109375" style="189" customWidth="1"/>
    <col min="3588" max="3841" width="9.140625" style="189"/>
    <col min="3842" max="3842" width="55.5703125" style="189" customWidth="1"/>
    <col min="3843" max="3843" width="17.7109375" style="189" customWidth="1"/>
    <col min="3844" max="4097" width="9.140625" style="189"/>
    <col min="4098" max="4098" width="55.5703125" style="189" customWidth="1"/>
    <col min="4099" max="4099" width="17.7109375" style="189" customWidth="1"/>
    <col min="4100" max="4353" width="9.140625" style="189"/>
    <col min="4354" max="4354" width="55.5703125" style="189" customWidth="1"/>
    <col min="4355" max="4355" width="17.7109375" style="189" customWidth="1"/>
    <col min="4356" max="4609" width="9.140625" style="189"/>
    <col min="4610" max="4610" width="55.5703125" style="189" customWidth="1"/>
    <col min="4611" max="4611" width="17.7109375" style="189" customWidth="1"/>
    <col min="4612" max="4865" width="9.140625" style="189"/>
    <col min="4866" max="4866" width="55.5703125" style="189" customWidth="1"/>
    <col min="4867" max="4867" width="17.7109375" style="189" customWidth="1"/>
    <col min="4868" max="5121" width="9.140625" style="189"/>
    <col min="5122" max="5122" width="55.5703125" style="189" customWidth="1"/>
    <col min="5123" max="5123" width="17.7109375" style="189" customWidth="1"/>
    <col min="5124" max="5377" width="9.140625" style="189"/>
    <col min="5378" max="5378" width="55.5703125" style="189" customWidth="1"/>
    <col min="5379" max="5379" width="17.7109375" style="189" customWidth="1"/>
    <col min="5380" max="5633" width="9.140625" style="189"/>
    <col min="5634" max="5634" width="55.5703125" style="189" customWidth="1"/>
    <col min="5635" max="5635" width="17.7109375" style="189" customWidth="1"/>
    <col min="5636" max="5889" width="9.140625" style="189"/>
    <col min="5890" max="5890" width="55.5703125" style="189" customWidth="1"/>
    <col min="5891" max="5891" width="17.7109375" style="189" customWidth="1"/>
    <col min="5892" max="6145" width="9.140625" style="189"/>
    <col min="6146" max="6146" width="55.5703125" style="189" customWidth="1"/>
    <col min="6147" max="6147" width="17.7109375" style="189" customWidth="1"/>
    <col min="6148" max="6401" width="9.140625" style="189"/>
    <col min="6402" max="6402" width="55.5703125" style="189" customWidth="1"/>
    <col min="6403" max="6403" width="17.7109375" style="189" customWidth="1"/>
    <col min="6404" max="6657" width="9.140625" style="189"/>
    <col min="6658" max="6658" width="55.5703125" style="189" customWidth="1"/>
    <col min="6659" max="6659" width="17.7109375" style="189" customWidth="1"/>
    <col min="6660" max="6913" width="9.140625" style="189"/>
    <col min="6914" max="6914" width="55.5703125" style="189" customWidth="1"/>
    <col min="6915" max="6915" width="17.7109375" style="189" customWidth="1"/>
    <col min="6916" max="7169" width="9.140625" style="189"/>
    <col min="7170" max="7170" width="55.5703125" style="189" customWidth="1"/>
    <col min="7171" max="7171" width="17.7109375" style="189" customWidth="1"/>
    <col min="7172" max="7425" width="9.140625" style="189"/>
    <col min="7426" max="7426" width="55.5703125" style="189" customWidth="1"/>
    <col min="7427" max="7427" width="17.7109375" style="189" customWidth="1"/>
    <col min="7428" max="7681" width="9.140625" style="189"/>
    <col min="7682" max="7682" width="55.5703125" style="189" customWidth="1"/>
    <col min="7683" max="7683" width="17.7109375" style="189" customWidth="1"/>
    <col min="7684" max="7937" width="9.140625" style="189"/>
    <col min="7938" max="7938" width="55.5703125" style="189" customWidth="1"/>
    <col min="7939" max="7939" width="17.7109375" style="189" customWidth="1"/>
    <col min="7940" max="8193" width="9.140625" style="189"/>
    <col min="8194" max="8194" width="55.5703125" style="189" customWidth="1"/>
    <col min="8195" max="8195" width="17.7109375" style="189" customWidth="1"/>
    <col min="8196" max="8449" width="9.140625" style="189"/>
    <col min="8450" max="8450" width="55.5703125" style="189" customWidth="1"/>
    <col min="8451" max="8451" width="17.7109375" style="189" customWidth="1"/>
    <col min="8452" max="8705" width="9.140625" style="189"/>
    <col min="8706" max="8706" width="55.5703125" style="189" customWidth="1"/>
    <col min="8707" max="8707" width="17.7109375" style="189" customWidth="1"/>
    <col min="8708" max="8961" width="9.140625" style="189"/>
    <col min="8962" max="8962" width="55.5703125" style="189" customWidth="1"/>
    <col min="8963" max="8963" width="17.7109375" style="189" customWidth="1"/>
    <col min="8964" max="9217" width="9.140625" style="189"/>
    <col min="9218" max="9218" width="55.5703125" style="189" customWidth="1"/>
    <col min="9219" max="9219" width="17.7109375" style="189" customWidth="1"/>
    <col min="9220" max="9473" width="9.140625" style="189"/>
    <col min="9474" max="9474" width="55.5703125" style="189" customWidth="1"/>
    <col min="9475" max="9475" width="17.7109375" style="189" customWidth="1"/>
    <col min="9476" max="9729" width="9.140625" style="189"/>
    <col min="9730" max="9730" width="55.5703125" style="189" customWidth="1"/>
    <col min="9731" max="9731" width="17.7109375" style="189" customWidth="1"/>
    <col min="9732" max="9985" width="9.140625" style="189"/>
    <col min="9986" max="9986" width="55.5703125" style="189" customWidth="1"/>
    <col min="9987" max="9987" width="17.7109375" style="189" customWidth="1"/>
    <col min="9988" max="10241" width="9.140625" style="189"/>
    <col min="10242" max="10242" width="55.5703125" style="189" customWidth="1"/>
    <col min="10243" max="10243" width="17.7109375" style="189" customWidth="1"/>
    <col min="10244" max="10497" width="9.140625" style="189"/>
    <col min="10498" max="10498" width="55.5703125" style="189" customWidth="1"/>
    <col min="10499" max="10499" width="17.7109375" style="189" customWidth="1"/>
    <col min="10500" max="10753" width="9.140625" style="189"/>
    <col min="10754" max="10754" width="55.5703125" style="189" customWidth="1"/>
    <col min="10755" max="10755" width="17.7109375" style="189" customWidth="1"/>
    <col min="10756" max="11009" width="9.140625" style="189"/>
    <col min="11010" max="11010" width="55.5703125" style="189" customWidth="1"/>
    <col min="11011" max="11011" width="17.7109375" style="189" customWidth="1"/>
    <col min="11012" max="11265" width="9.140625" style="189"/>
    <col min="11266" max="11266" width="55.5703125" style="189" customWidth="1"/>
    <col min="11267" max="11267" width="17.7109375" style="189" customWidth="1"/>
    <col min="11268" max="11521" width="9.140625" style="189"/>
    <col min="11522" max="11522" width="55.5703125" style="189" customWidth="1"/>
    <col min="11523" max="11523" width="17.7109375" style="189" customWidth="1"/>
    <col min="11524" max="11777" width="9.140625" style="189"/>
    <col min="11778" max="11778" width="55.5703125" style="189" customWidth="1"/>
    <col min="11779" max="11779" width="17.7109375" style="189" customWidth="1"/>
    <col min="11780" max="12033" width="9.140625" style="189"/>
    <col min="12034" max="12034" width="55.5703125" style="189" customWidth="1"/>
    <col min="12035" max="12035" width="17.7109375" style="189" customWidth="1"/>
    <col min="12036" max="12289" width="9.140625" style="189"/>
    <col min="12290" max="12290" width="55.5703125" style="189" customWidth="1"/>
    <col min="12291" max="12291" width="17.7109375" style="189" customWidth="1"/>
    <col min="12292" max="12545" width="9.140625" style="189"/>
    <col min="12546" max="12546" width="55.5703125" style="189" customWidth="1"/>
    <col min="12547" max="12547" width="17.7109375" style="189" customWidth="1"/>
    <col min="12548" max="12801" width="9.140625" style="189"/>
    <col min="12802" max="12802" width="55.5703125" style="189" customWidth="1"/>
    <col min="12803" max="12803" width="17.7109375" style="189" customWidth="1"/>
    <col min="12804" max="13057" width="9.140625" style="189"/>
    <col min="13058" max="13058" width="55.5703125" style="189" customWidth="1"/>
    <col min="13059" max="13059" width="17.7109375" style="189" customWidth="1"/>
    <col min="13060" max="13313" width="9.140625" style="189"/>
    <col min="13314" max="13314" width="55.5703125" style="189" customWidth="1"/>
    <col min="13315" max="13315" width="17.7109375" style="189" customWidth="1"/>
    <col min="13316" max="13569" width="9.140625" style="189"/>
    <col min="13570" max="13570" width="55.5703125" style="189" customWidth="1"/>
    <col min="13571" max="13571" width="17.7109375" style="189" customWidth="1"/>
    <col min="13572" max="13825" width="9.140625" style="189"/>
    <col min="13826" max="13826" width="55.5703125" style="189" customWidth="1"/>
    <col min="13827" max="13827" width="17.7109375" style="189" customWidth="1"/>
    <col min="13828" max="14081" width="9.140625" style="189"/>
    <col min="14082" max="14082" width="55.5703125" style="189" customWidth="1"/>
    <col min="14083" max="14083" width="17.7109375" style="189" customWidth="1"/>
    <col min="14084" max="14337" width="9.140625" style="189"/>
    <col min="14338" max="14338" width="55.5703125" style="189" customWidth="1"/>
    <col min="14339" max="14339" width="17.7109375" style="189" customWidth="1"/>
    <col min="14340" max="14593" width="9.140625" style="189"/>
    <col min="14594" max="14594" width="55.5703125" style="189" customWidth="1"/>
    <col min="14595" max="14595" width="17.7109375" style="189" customWidth="1"/>
    <col min="14596" max="14849" width="9.140625" style="189"/>
    <col min="14850" max="14850" width="55.5703125" style="189" customWidth="1"/>
    <col min="14851" max="14851" width="17.7109375" style="189" customWidth="1"/>
    <col min="14852" max="15105" width="9.140625" style="189"/>
    <col min="15106" max="15106" width="55.5703125" style="189" customWidth="1"/>
    <col min="15107" max="15107" width="17.7109375" style="189" customWidth="1"/>
    <col min="15108" max="15361" width="9.140625" style="189"/>
    <col min="15362" max="15362" width="55.5703125" style="189" customWidth="1"/>
    <col min="15363" max="15363" width="17.7109375" style="189" customWidth="1"/>
    <col min="15364" max="15617" width="9.140625" style="189"/>
    <col min="15618" max="15618" width="55.5703125" style="189" customWidth="1"/>
    <col min="15619" max="15619" width="17.7109375" style="189" customWidth="1"/>
    <col min="15620" max="15873" width="9.140625" style="189"/>
    <col min="15874" max="15874" width="55.5703125" style="189" customWidth="1"/>
    <col min="15875" max="15875" width="17.7109375" style="189" customWidth="1"/>
    <col min="15876" max="16129" width="9.140625" style="189"/>
    <col min="16130" max="16130" width="55.5703125" style="189" customWidth="1"/>
    <col min="16131" max="16131" width="17.7109375" style="189" customWidth="1"/>
    <col min="16132" max="16384" width="9.140625" style="189"/>
  </cols>
  <sheetData>
    <row r="1" spans="1:5" x14ac:dyDescent="0.25">
      <c r="A1" s="17" t="s">
        <v>196</v>
      </c>
      <c r="B1" s="199"/>
      <c r="C1" s="197"/>
    </row>
    <row r="2" spans="1:5" x14ac:dyDescent="0.25">
      <c r="A2" s="17" t="s">
        <v>202</v>
      </c>
      <c r="B2" s="199"/>
      <c r="C2" s="197"/>
    </row>
    <row r="3" spans="1:5" x14ac:dyDescent="0.25">
      <c r="A3" s="17"/>
      <c r="B3" s="200" t="s">
        <v>186</v>
      </c>
      <c r="E3" s="189" t="s">
        <v>238</v>
      </c>
    </row>
    <row r="4" spans="1:5" x14ac:dyDescent="0.25">
      <c r="A4" s="38"/>
      <c r="B4" s="201" t="s">
        <v>15</v>
      </c>
      <c r="C4" s="39" t="s">
        <v>187</v>
      </c>
    </row>
    <row r="5" spans="1:5" x14ac:dyDescent="0.25">
      <c r="A5" s="23" t="s">
        <v>16</v>
      </c>
      <c r="B5" s="202" t="s">
        <v>17</v>
      </c>
      <c r="C5" s="39" t="s">
        <v>15</v>
      </c>
    </row>
    <row r="6" spans="1:5" x14ac:dyDescent="0.25">
      <c r="A6" s="41" t="s">
        <v>18</v>
      </c>
      <c r="B6" s="203"/>
    </row>
    <row r="7" spans="1:5" x14ac:dyDescent="0.25">
      <c r="A7" s="42" t="s">
        <v>19</v>
      </c>
      <c r="B7" s="204"/>
    </row>
    <row r="8" spans="1:5" x14ac:dyDescent="0.25">
      <c r="A8" s="43" t="s">
        <v>20</v>
      </c>
      <c r="B8" s="205"/>
      <c r="D8" s="43" t="s">
        <v>20</v>
      </c>
    </row>
    <row r="9" spans="1:5" ht="15" x14ac:dyDescent="0.2">
      <c r="A9" s="44" t="s">
        <v>21</v>
      </c>
      <c r="B9" s="206">
        <f>+C9/1000</f>
        <v>58176.834318305577</v>
      </c>
      <c r="C9" s="45">
        <f>FCM!M11</f>
        <v>58176834.318305574</v>
      </c>
      <c r="D9" s="44" t="s">
        <v>21</v>
      </c>
      <c r="E9" s="250">
        <v>92362173.488054797</v>
      </c>
    </row>
    <row r="10" spans="1:5" ht="15" x14ac:dyDescent="0.2">
      <c r="A10" s="44" t="s">
        <v>22</v>
      </c>
      <c r="B10" s="206">
        <f t="shared" ref="B10:B26" si="0">+C10/1000</f>
        <v>7664.1999038544636</v>
      </c>
      <c r="C10" s="45">
        <f>FCM!M12</f>
        <v>7664199.9038544632</v>
      </c>
      <c r="D10" s="44" t="s">
        <v>22</v>
      </c>
      <c r="E10" s="250">
        <v>569694.45412018918</v>
      </c>
    </row>
    <row r="11" spans="1:5" ht="15" x14ac:dyDescent="0.2">
      <c r="A11" s="44" t="s">
        <v>23</v>
      </c>
      <c r="B11" s="206">
        <f t="shared" si="0"/>
        <v>33977.396826858501</v>
      </c>
      <c r="C11" s="45">
        <f>FCM!M13</f>
        <v>33977396.826858498</v>
      </c>
      <c r="D11" s="44" t="s">
        <v>23</v>
      </c>
      <c r="E11" s="250">
        <v>25256040.787724428</v>
      </c>
    </row>
    <row r="12" spans="1:5" ht="15" x14ac:dyDescent="0.2">
      <c r="A12" s="46" t="s">
        <v>24</v>
      </c>
      <c r="B12" s="206">
        <f t="shared" si="0"/>
        <v>1915.8304231528757</v>
      </c>
      <c r="C12" s="47">
        <f>FCM!M14</f>
        <v>1915830.4231528756</v>
      </c>
      <c r="D12" s="46" t="s">
        <v>24</v>
      </c>
      <c r="E12" s="251">
        <v>142407.29375495863</v>
      </c>
    </row>
    <row r="13" spans="1:5" s="191" customFormat="1" x14ac:dyDescent="0.25">
      <c r="A13" s="48" t="s">
        <v>25</v>
      </c>
      <c r="B13" s="207">
        <f t="shared" si="0"/>
        <v>101734.26147217141</v>
      </c>
      <c r="C13" s="184">
        <f>SUM(C9:C12)</f>
        <v>101734261.47217141</v>
      </c>
      <c r="D13" s="48" t="s">
        <v>25</v>
      </c>
      <c r="E13" s="184">
        <v>118330316.02365437</v>
      </c>
    </row>
    <row r="14" spans="1:5" ht="15" x14ac:dyDescent="0.2">
      <c r="A14" s="44" t="s">
        <v>26</v>
      </c>
      <c r="B14" s="206">
        <f t="shared" si="0"/>
        <v>3440.888382164313</v>
      </c>
      <c r="C14" s="45">
        <f>FCM!M16</f>
        <v>3440888.382164313</v>
      </c>
      <c r="D14" s="44" t="s">
        <v>26</v>
      </c>
      <c r="E14" s="250">
        <v>5462634.2689347137</v>
      </c>
    </row>
    <row r="15" spans="1:5" ht="15" x14ac:dyDescent="0.2">
      <c r="A15" s="44" t="s">
        <v>27</v>
      </c>
      <c r="B15" s="206">
        <f t="shared" si="0"/>
        <v>285.52724158354874</v>
      </c>
      <c r="C15" s="45">
        <f>FCM!M17</f>
        <v>285527.24158354872</v>
      </c>
      <c r="D15" s="44" t="s">
        <v>27</v>
      </c>
      <c r="E15" s="250">
        <v>21223.779138195088</v>
      </c>
    </row>
    <row r="16" spans="1:5" ht="15" x14ac:dyDescent="0.2">
      <c r="A16" s="44" t="s">
        <v>28</v>
      </c>
      <c r="B16" s="206">
        <f t="shared" si="0"/>
        <v>5329.4605555664193</v>
      </c>
      <c r="C16" s="45">
        <f>FCM!M18</f>
        <v>5329460.5555664189</v>
      </c>
      <c r="D16" s="44" t="s">
        <v>28</v>
      </c>
      <c r="E16" s="251">
        <v>395964.30012577982</v>
      </c>
    </row>
    <row r="17" spans="1:5" s="191" customFormat="1" x14ac:dyDescent="0.25">
      <c r="A17" s="48" t="s">
        <v>29</v>
      </c>
      <c r="B17" s="207">
        <f t="shared" si="0"/>
        <v>9055.8761793142821</v>
      </c>
      <c r="C17" s="184">
        <f>SUM(C14:C16)</f>
        <v>9055876.1793142818</v>
      </c>
      <c r="D17" s="48" t="s">
        <v>29</v>
      </c>
      <c r="E17" s="184">
        <v>5879822.3481986886</v>
      </c>
    </row>
    <row r="18" spans="1:5" ht="15" x14ac:dyDescent="0.2">
      <c r="A18" s="44" t="s">
        <v>30</v>
      </c>
      <c r="B18" s="206">
        <f t="shared" si="0"/>
        <v>670.46004973876347</v>
      </c>
      <c r="C18" s="45">
        <f>FCM!M20</f>
        <v>670460.04973876348</v>
      </c>
      <c r="D18" s="44" t="s">
        <v>151</v>
      </c>
      <c r="E18" s="250">
        <v>1592603.4608779196</v>
      </c>
    </row>
    <row r="19" spans="1:5" ht="15" x14ac:dyDescent="0.2">
      <c r="A19" s="44" t="s">
        <v>31</v>
      </c>
      <c r="B19" s="206">
        <f t="shared" si="0"/>
        <v>0</v>
      </c>
      <c r="C19" s="45">
        <f>FCM!M21</f>
        <v>0</v>
      </c>
      <c r="D19" s="44" t="s">
        <v>152</v>
      </c>
      <c r="E19" s="251">
        <v>0</v>
      </c>
    </row>
    <row r="20" spans="1:5" s="191" customFormat="1" x14ac:dyDescent="0.25">
      <c r="A20" s="48" t="s">
        <v>32</v>
      </c>
      <c r="B20" s="207">
        <f t="shared" si="0"/>
        <v>670.46004973876347</v>
      </c>
      <c r="C20" s="185">
        <f>SUM(C18:C19)</f>
        <v>670460.04973876348</v>
      </c>
      <c r="D20" s="48" t="s">
        <v>32</v>
      </c>
      <c r="E20" s="186">
        <v>1592603.4608779196</v>
      </c>
    </row>
    <row r="21" spans="1:5" s="191" customFormat="1" x14ac:dyDescent="0.25">
      <c r="A21" s="48" t="s">
        <v>33</v>
      </c>
      <c r="B21" s="207">
        <f t="shared" si="0"/>
        <v>111460.59770122445</v>
      </c>
      <c r="C21" s="185">
        <f>+C20+C17+C13</f>
        <v>111460597.70122446</v>
      </c>
      <c r="D21" s="48" t="s">
        <v>33</v>
      </c>
      <c r="E21" s="184">
        <v>125802741.83273098</v>
      </c>
    </row>
    <row r="22" spans="1:5" ht="15" x14ac:dyDescent="0.2">
      <c r="A22" s="44" t="s">
        <v>34</v>
      </c>
      <c r="B22" s="206">
        <f t="shared" si="0"/>
        <v>2628.6408069386289</v>
      </c>
      <c r="C22" s="45">
        <f>FCM!M24</f>
        <v>2628640.8069386287</v>
      </c>
      <c r="D22" s="44" t="s">
        <v>34</v>
      </c>
      <c r="E22" s="250">
        <v>4338907.2409644164</v>
      </c>
    </row>
    <row r="23" spans="1:5" ht="15" x14ac:dyDescent="0.2">
      <c r="A23" s="44" t="s">
        <v>35</v>
      </c>
      <c r="B23" s="206">
        <f t="shared" si="0"/>
        <v>1465.1174521938508</v>
      </c>
      <c r="C23" s="45">
        <f>FCM!M25</f>
        <v>1465117.4521938509</v>
      </c>
      <c r="D23" s="44" t="s">
        <v>35</v>
      </c>
      <c r="E23" s="250">
        <v>98796.004828803343</v>
      </c>
    </row>
    <row r="24" spans="1:5" ht="15" x14ac:dyDescent="0.2">
      <c r="A24" s="44" t="s">
        <v>36</v>
      </c>
      <c r="B24" s="206">
        <f t="shared" si="0"/>
        <v>19269.301039643073</v>
      </c>
      <c r="C24" s="45">
        <f>FCM!M26</f>
        <v>19269301.039643072</v>
      </c>
      <c r="D24" s="44" t="s">
        <v>36</v>
      </c>
      <c r="E24" s="251">
        <v>1299370.2011464117</v>
      </c>
    </row>
    <row r="25" spans="1:5" s="191" customFormat="1" x14ac:dyDescent="0.25">
      <c r="A25" s="48" t="s">
        <v>37</v>
      </c>
      <c r="B25" s="207">
        <f t="shared" si="0"/>
        <v>23363.059298775552</v>
      </c>
      <c r="C25" s="186">
        <f>SUM(C22:C24)</f>
        <v>23363059.29877555</v>
      </c>
      <c r="D25" s="48" t="s">
        <v>37</v>
      </c>
      <c r="E25" s="186">
        <v>5737073.4469396314</v>
      </c>
    </row>
    <row r="26" spans="1:5" s="191" customFormat="1" x14ac:dyDescent="0.25">
      <c r="A26" s="49" t="s">
        <v>38</v>
      </c>
      <c r="B26" s="207">
        <f t="shared" si="0"/>
        <v>134823.65700000001</v>
      </c>
      <c r="C26" s="184">
        <f>C25+C21</f>
        <v>134823657</v>
      </c>
      <c r="D26" s="49" t="s">
        <v>38</v>
      </c>
      <c r="E26" s="184">
        <v>131539815.27967061</v>
      </c>
    </row>
    <row r="27" spans="1:5" x14ac:dyDescent="0.25">
      <c r="A27" s="49"/>
      <c r="B27" s="208"/>
      <c r="D27" s="49"/>
      <c r="E27" s="252"/>
    </row>
    <row r="28" spans="1:5" x14ac:dyDescent="0.25">
      <c r="A28" s="43" t="s">
        <v>39</v>
      </c>
      <c r="B28" s="207"/>
      <c r="D28" s="43" t="s">
        <v>39</v>
      </c>
      <c r="E28" s="252"/>
    </row>
    <row r="29" spans="1:5" ht="15" x14ac:dyDescent="0.2">
      <c r="A29" s="44" t="s">
        <v>40</v>
      </c>
      <c r="B29" s="209">
        <f>+C29/1000</f>
        <v>0</v>
      </c>
      <c r="C29" s="45">
        <f>'Int''l'!J11</f>
        <v>0</v>
      </c>
      <c r="D29" s="44" t="s">
        <v>40</v>
      </c>
      <c r="E29" s="250">
        <v>133556.97595883088</v>
      </c>
    </row>
    <row r="30" spans="1:5" ht="15" x14ac:dyDescent="0.2">
      <c r="A30" s="44" t="s">
        <v>41</v>
      </c>
      <c r="B30" s="209">
        <f t="shared" ref="B30:B39" si="1">+C30/1000</f>
        <v>0</v>
      </c>
      <c r="C30" s="45">
        <f>'Int''l'!J12</f>
        <v>0</v>
      </c>
      <c r="D30" s="44" t="s">
        <v>41</v>
      </c>
      <c r="E30" s="250">
        <v>19004.745744916796</v>
      </c>
    </row>
    <row r="31" spans="1:5" ht="15" x14ac:dyDescent="0.2">
      <c r="A31" s="44" t="s">
        <v>42</v>
      </c>
      <c r="B31" s="209">
        <f t="shared" si="1"/>
        <v>0</v>
      </c>
      <c r="C31" s="47">
        <f>'Int''l'!J13</f>
        <v>0</v>
      </c>
      <c r="D31" s="44" t="s">
        <v>42</v>
      </c>
      <c r="E31" s="251">
        <v>14432.326590980851</v>
      </c>
    </row>
    <row r="32" spans="1:5" s="191" customFormat="1" x14ac:dyDescent="0.25">
      <c r="A32" s="48" t="s">
        <v>43</v>
      </c>
      <c r="B32" s="210">
        <f t="shared" si="1"/>
        <v>0</v>
      </c>
      <c r="C32" s="52">
        <f>SUM(C29:C31)</f>
        <v>0</v>
      </c>
      <c r="D32" s="48" t="s">
        <v>43</v>
      </c>
      <c r="E32" s="52">
        <f>SUM(E29:E31)</f>
        <v>166994.04829472851</v>
      </c>
    </row>
    <row r="33" spans="1:5" ht="15" x14ac:dyDescent="0.2">
      <c r="A33" s="44" t="s">
        <v>44</v>
      </c>
      <c r="B33" s="209">
        <f t="shared" si="1"/>
        <v>0</v>
      </c>
      <c r="C33" s="45">
        <f>'Int''l'!J15</f>
        <v>0</v>
      </c>
      <c r="D33" s="44" t="s">
        <v>44</v>
      </c>
      <c r="E33" s="250">
        <v>13606.903410542964</v>
      </c>
    </row>
    <row r="34" spans="1:5" ht="15" x14ac:dyDescent="0.2">
      <c r="A34" s="44" t="s">
        <v>45</v>
      </c>
      <c r="B34" s="209">
        <f t="shared" si="1"/>
        <v>0</v>
      </c>
      <c r="C34" s="45">
        <f>'Int''l'!J16</f>
        <v>0</v>
      </c>
      <c r="D34" s="44" t="s">
        <v>45</v>
      </c>
      <c r="E34" s="252">
        <v>0</v>
      </c>
    </row>
    <row r="35" spans="1:5" ht="15" x14ac:dyDescent="0.2">
      <c r="A35" s="44" t="s">
        <v>46</v>
      </c>
      <c r="B35" s="209">
        <f t="shared" si="1"/>
        <v>0</v>
      </c>
      <c r="C35" s="45">
        <f>'Int''l'!J17</f>
        <v>0</v>
      </c>
      <c r="D35" s="44" t="s">
        <v>46</v>
      </c>
      <c r="E35" s="253">
        <v>0</v>
      </c>
    </row>
    <row r="36" spans="1:5" x14ac:dyDescent="0.25">
      <c r="A36" s="50" t="s">
        <v>47</v>
      </c>
      <c r="B36" s="209">
        <f t="shared" si="1"/>
        <v>0</v>
      </c>
      <c r="C36" s="45">
        <f>'Int''l'!J18</f>
        <v>0</v>
      </c>
      <c r="D36" s="48" t="s">
        <v>48</v>
      </c>
      <c r="E36" s="254">
        <f>SUM(E33:E35)</f>
        <v>13606.903410542964</v>
      </c>
    </row>
    <row r="37" spans="1:5" s="191" customFormat="1" x14ac:dyDescent="0.25">
      <c r="A37" s="48" t="s">
        <v>48</v>
      </c>
      <c r="B37" s="210">
        <f t="shared" si="1"/>
        <v>0</v>
      </c>
      <c r="C37" s="187">
        <f>SUM(C33:C36)</f>
        <v>0</v>
      </c>
      <c r="D37" s="49" t="s">
        <v>49</v>
      </c>
      <c r="E37" s="254">
        <f>+E36+E32</f>
        <v>180600.95170527147</v>
      </c>
    </row>
    <row r="38" spans="1:5" s="191" customFormat="1" x14ac:dyDescent="0.25">
      <c r="A38" s="49" t="s">
        <v>49</v>
      </c>
      <c r="B38" s="210">
        <f t="shared" si="1"/>
        <v>0</v>
      </c>
      <c r="C38" s="52">
        <f>C37+C32</f>
        <v>0</v>
      </c>
      <c r="D38" s="51" t="s">
        <v>50</v>
      </c>
      <c r="E38" s="52">
        <f>+E37+E26</f>
        <v>131720416.23137589</v>
      </c>
    </row>
    <row r="39" spans="1:5" s="191" customFormat="1" x14ac:dyDescent="0.25">
      <c r="A39" s="51" t="s">
        <v>50</v>
      </c>
      <c r="B39" s="210">
        <f t="shared" si="1"/>
        <v>134823.65700000001</v>
      </c>
      <c r="C39" s="52">
        <f>C26+C38</f>
        <v>134823657</v>
      </c>
      <c r="D39" s="19"/>
      <c r="E39" s="19"/>
    </row>
    <row r="40" spans="1:5" x14ac:dyDescent="0.25">
      <c r="A40" s="53" t="s">
        <v>51</v>
      </c>
      <c r="B40" s="207"/>
      <c r="D40" s="53" t="s">
        <v>51</v>
      </c>
      <c r="E40" s="19"/>
    </row>
    <row r="41" spans="1:5" x14ac:dyDescent="0.25">
      <c r="A41" s="53" t="s">
        <v>52</v>
      </c>
      <c r="B41" s="211"/>
      <c r="D41" s="53" t="s">
        <v>52</v>
      </c>
      <c r="E41" s="19"/>
    </row>
    <row r="42" spans="1:5" x14ac:dyDescent="0.25">
      <c r="A42" s="54" t="s">
        <v>53</v>
      </c>
      <c r="B42" s="212"/>
      <c r="D42" s="54" t="s">
        <v>53</v>
      </c>
      <c r="E42" s="19"/>
    </row>
    <row r="43" spans="1:5" ht="15" x14ac:dyDescent="0.2">
      <c r="A43" s="55" t="s">
        <v>54</v>
      </c>
      <c r="B43" s="212">
        <f>+C43/1000</f>
        <v>737.55914298115113</v>
      </c>
      <c r="C43" s="188">
        <f>SM!I13</f>
        <v>737559.14298115112</v>
      </c>
      <c r="D43" s="55" t="s">
        <v>54</v>
      </c>
      <c r="E43" s="255">
        <v>900645.66481179267</v>
      </c>
    </row>
    <row r="44" spans="1:5" ht="15" x14ac:dyDescent="0.2">
      <c r="A44" s="55" t="s">
        <v>55</v>
      </c>
      <c r="B44" s="212">
        <f t="shared" ref="B44:B107" si="2">+C44/1000</f>
        <v>662.84901600177579</v>
      </c>
      <c r="C44" s="188">
        <f>SM!I14</f>
        <v>662849.01600177574</v>
      </c>
      <c r="D44" s="55" t="s">
        <v>55</v>
      </c>
      <c r="E44" s="256">
        <v>761551.58237923135</v>
      </c>
    </row>
    <row r="45" spans="1:5" s="191" customFormat="1" x14ac:dyDescent="0.25">
      <c r="A45" s="56" t="s">
        <v>56</v>
      </c>
      <c r="B45" s="213">
        <f t="shared" si="2"/>
        <v>1400.408158982927</v>
      </c>
      <c r="C45" s="190">
        <f>SUM(C43:C44)</f>
        <v>1400408.158982927</v>
      </c>
      <c r="D45" s="56" t="s">
        <v>56</v>
      </c>
      <c r="E45" s="257">
        <f>SUM(E43:E44)</f>
        <v>1662197.247191024</v>
      </c>
    </row>
    <row r="46" spans="1:5" x14ac:dyDescent="0.25">
      <c r="A46" s="54" t="s">
        <v>57</v>
      </c>
      <c r="B46" s="212">
        <f t="shared" si="2"/>
        <v>0</v>
      </c>
      <c r="C46" s="46"/>
      <c r="D46" s="54" t="s">
        <v>57</v>
      </c>
      <c r="E46" s="252"/>
    </row>
    <row r="47" spans="1:5" ht="15" x14ac:dyDescent="0.2">
      <c r="A47" s="55" t="s">
        <v>54</v>
      </c>
      <c r="B47" s="212">
        <f t="shared" si="2"/>
        <v>331.69513246650342</v>
      </c>
      <c r="C47" s="188">
        <f>SM!I17</f>
        <v>331695.13246650342</v>
      </c>
      <c r="D47" s="55" t="s">
        <v>54</v>
      </c>
      <c r="E47" s="255">
        <v>426719.67342406977</v>
      </c>
    </row>
    <row r="48" spans="1:5" ht="15" x14ac:dyDescent="0.2">
      <c r="A48" s="55" t="s">
        <v>58</v>
      </c>
      <c r="B48" s="212">
        <f t="shared" si="2"/>
        <v>1154.3400491773525</v>
      </c>
      <c r="C48" s="188">
        <f>SM!I18</f>
        <v>1154340.0491773526</v>
      </c>
      <c r="D48" s="55" t="s">
        <v>58</v>
      </c>
      <c r="E48" s="256">
        <v>1214064.2025554753</v>
      </c>
    </row>
    <row r="49" spans="1:5" s="191" customFormat="1" x14ac:dyDescent="0.25">
      <c r="A49" s="56" t="s">
        <v>59</v>
      </c>
      <c r="B49" s="213">
        <f t="shared" si="2"/>
        <v>1486.035181643856</v>
      </c>
      <c r="C49" s="190">
        <f>SUM(C47:C48)</f>
        <v>1486035.181643856</v>
      </c>
      <c r="D49" s="56" t="s">
        <v>59</v>
      </c>
      <c r="E49" s="258">
        <f>SUM(E47:E48)</f>
        <v>1640783.8759795451</v>
      </c>
    </row>
    <row r="50" spans="1:5" s="191" customFormat="1" x14ac:dyDescent="0.25">
      <c r="A50" s="56" t="s">
        <v>60</v>
      </c>
      <c r="B50" s="213">
        <f t="shared" si="2"/>
        <v>2886.4433406267826</v>
      </c>
      <c r="C50" s="190">
        <f>C49+C45</f>
        <v>2886443.3406267827</v>
      </c>
      <c r="D50" s="56" t="s">
        <v>60</v>
      </c>
      <c r="E50" s="257">
        <f>+E49+E45</f>
        <v>3302981.1231705691</v>
      </c>
    </row>
    <row r="51" spans="1:5" x14ac:dyDescent="0.25">
      <c r="A51" s="54" t="s">
        <v>61</v>
      </c>
      <c r="B51" s="212">
        <f t="shared" si="2"/>
        <v>0</v>
      </c>
      <c r="C51" s="46"/>
      <c r="D51" s="54" t="s">
        <v>61</v>
      </c>
      <c r="E51" s="252"/>
    </row>
    <row r="52" spans="1:5" ht="15" x14ac:dyDescent="0.2">
      <c r="A52" s="55" t="s">
        <v>62</v>
      </c>
      <c r="B52" s="212">
        <f t="shared" si="2"/>
        <v>492.92171679331653</v>
      </c>
      <c r="C52" s="188">
        <f>SM!I22</f>
        <v>492921.71679331653</v>
      </c>
      <c r="D52" s="55" t="s">
        <v>62</v>
      </c>
      <c r="E52" s="259">
        <v>601645.58757671877</v>
      </c>
    </row>
    <row r="53" spans="1:5" ht="15" x14ac:dyDescent="0.2">
      <c r="A53" s="55" t="s">
        <v>63</v>
      </c>
      <c r="B53" s="212">
        <f t="shared" si="2"/>
        <v>2614.3314712018891</v>
      </c>
      <c r="C53" s="188">
        <f>SM!I23</f>
        <v>2614331.4712018892</v>
      </c>
      <c r="D53" s="55" t="s">
        <v>63</v>
      </c>
      <c r="E53" s="260">
        <v>2160188.4158315179</v>
      </c>
    </row>
    <row r="54" spans="1:5" s="191" customFormat="1" x14ac:dyDescent="0.25">
      <c r="A54" s="56" t="s">
        <v>64</v>
      </c>
      <c r="B54" s="213">
        <f t="shared" si="2"/>
        <v>3107.2531879952057</v>
      </c>
      <c r="C54" s="190">
        <f>SUM(C52:C53)</f>
        <v>3107253.1879952056</v>
      </c>
      <c r="D54" s="56" t="s">
        <v>64</v>
      </c>
      <c r="E54" s="261">
        <f>SUM(E52:E53)</f>
        <v>2761834.0034082364</v>
      </c>
    </row>
    <row r="55" spans="1:5" ht="15" x14ac:dyDescent="0.2">
      <c r="A55" s="55" t="s">
        <v>65</v>
      </c>
      <c r="B55" s="212">
        <f t="shared" si="2"/>
        <v>5.8096234924823117E-3</v>
      </c>
      <c r="C55" s="192">
        <f>SM!I25</f>
        <v>5.809623492482312</v>
      </c>
      <c r="D55" s="55" t="s">
        <v>65</v>
      </c>
      <c r="E55" s="259">
        <v>5130.4790238880823</v>
      </c>
    </row>
    <row r="56" spans="1:5" ht="15" x14ac:dyDescent="0.2">
      <c r="A56" s="55" t="s">
        <v>66</v>
      </c>
      <c r="B56" s="212">
        <f t="shared" si="2"/>
        <v>7.6191701777757803E-2</v>
      </c>
      <c r="C56" s="192">
        <f>SM!I26</f>
        <v>76.1917017777578</v>
      </c>
      <c r="D56" s="55" t="s">
        <v>66</v>
      </c>
      <c r="E56" s="260">
        <v>52008.424702090706</v>
      </c>
    </row>
    <row r="57" spans="1:5" s="191" customFormat="1" x14ac:dyDescent="0.25">
      <c r="A57" s="56" t="s">
        <v>67</v>
      </c>
      <c r="B57" s="213">
        <f t="shared" si="2"/>
        <v>8.2001325270240122E-2</v>
      </c>
      <c r="C57" s="190">
        <f>SUM(C55:C56)</f>
        <v>82.001325270240116</v>
      </c>
      <c r="D57" s="56" t="s">
        <v>67</v>
      </c>
      <c r="E57" s="262">
        <f>SUM(E55:E56)</f>
        <v>57138.903725978787</v>
      </c>
    </row>
    <row r="58" spans="1:5" s="191" customFormat="1" x14ac:dyDescent="0.25">
      <c r="A58" s="56" t="s">
        <v>68</v>
      </c>
      <c r="B58" s="213">
        <f t="shared" si="2"/>
        <v>3107.3351893204758</v>
      </c>
      <c r="C58" s="190">
        <f>C57+C54</f>
        <v>3107335.1893204758</v>
      </c>
      <c r="D58" s="56" t="s">
        <v>68</v>
      </c>
      <c r="E58" s="261">
        <f>+E57+E54</f>
        <v>2818972.9071342153</v>
      </c>
    </row>
    <row r="59" spans="1:5" x14ac:dyDescent="0.25">
      <c r="A59" s="54" t="s">
        <v>69</v>
      </c>
      <c r="B59" s="212">
        <f t="shared" si="2"/>
        <v>0</v>
      </c>
      <c r="C59" s="46"/>
      <c r="D59" s="54" t="s">
        <v>69</v>
      </c>
      <c r="E59" s="261"/>
    </row>
    <row r="60" spans="1:5" ht="15" x14ac:dyDescent="0.2">
      <c r="A60" s="55" t="s">
        <v>62</v>
      </c>
      <c r="B60" s="212">
        <f t="shared" si="2"/>
        <v>258.80556699301758</v>
      </c>
      <c r="C60" s="188">
        <f>SM!I30</f>
        <v>258805.56699301759</v>
      </c>
      <c r="D60" s="55" t="s">
        <v>62</v>
      </c>
      <c r="E60" s="259">
        <v>332948.59109439689</v>
      </c>
    </row>
    <row r="61" spans="1:5" ht="15" x14ac:dyDescent="0.2">
      <c r="A61" s="55" t="s">
        <v>63</v>
      </c>
      <c r="B61" s="212">
        <f t="shared" si="2"/>
        <v>778.51710837246992</v>
      </c>
      <c r="C61" s="188">
        <f>SM!I31</f>
        <v>778517.1083724699</v>
      </c>
      <c r="D61" s="55" t="s">
        <v>63</v>
      </c>
      <c r="E61" s="260">
        <v>655513.34932436375</v>
      </c>
    </row>
    <row r="62" spans="1:5" s="191" customFormat="1" x14ac:dyDescent="0.25">
      <c r="A62" s="56" t="s">
        <v>70</v>
      </c>
      <c r="B62" s="213">
        <f t="shared" si="2"/>
        <v>1037.3226753654874</v>
      </c>
      <c r="C62" s="190">
        <f>SUM(C60:C61)</f>
        <v>1037322.6753654875</v>
      </c>
      <c r="D62" s="56" t="s">
        <v>70</v>
      </c>
      <c r="E62" s="261">
        <f>SUM(E60:E61)</f>
        <v>988461.94041876064</v>
      </c>
    </row>
    <row r="63" spans="1:5" ht="15" x14ac:dyDescent="0.2">
      <c r="A63" s="55" t="s">
        <v>65</v>
      </c>
      <c r="B63" s="212">
        <f t="shared" si="2"/>
        <v>1.0997946282207481E-3</v>
      </c>
      <c r="C63" s="188">
        <f>SM!I33</f>
        <v>1.099794628220748</v>
      </c>
      <c r="D63" s="55" t="s">
        <v>65</v>
      </c>
      <c r="E63" s="259">
        <v>169.78041333825533</v>
      </c>
    </row>
    <row r="64" spans="1:5" ht="15" x14ac:dyDescent="0.2">
      <c r="A64" s="55" t="s">
        <v>66</v>
      </c>
      <c r="B64" s="212">
        <f t="shared" si="2"/>
        <v>0</v>
      </c>
      <c r="C64" s="188">
        <f>SM!I34</f>
        <v>0</v>
      </c>
      <c r="D64" s="55" t="s">
        <v>66</v>
      </c>
      <c r="E64" s="260">
        <v>0</v>
      </c>
    </row>
    <row r="65" spans="1:5" s="191" customFormat="1" x14ac:dyDescent="0.25">
      <c r="A65" s="56" t="s">
        <v>71</v>
      </c>
      <c r="B65" s="213">
        <f t="shared" si="2"/>
        <v>1.0997946282207481E-3</v>
      </c>
      <c r="C65" s="190">
        <f>SUM(C63:C64)</f>
        <v>1.099794628220748</v>
      </c>
      <c r="D65" s="56" t="s">
        <v>71</v>
      </c>
      <c r="E65" s="262">
        <f>SUM(E63:E64)</f>
        <v>169.78041333825533</v>
      </c>
    </row>
    <row r="66" spans="1:5" s="191" customFormat="1" ht="16.5" thickBot="1" x14ac:dyDescent="0.3">
      <c r="A66" s="56" t="s">
        <v>72</v>
      </c>
      <c r="B66" s="213">
        <f t="shared" si="2"/>
        <v>1037.3237751601157</v>
      </c>
      <c r="C66" s="193">
        <f>C62+C65</f>
        <v>1037323.7751601157</v>
      </c>
      <c r="D66" s="56" t="s">
        <v>72</v>
      </c>
      <c r="E66" s="262">
        <f>+E65+E62</f>
        <v>988631.72083209886</v>
      </c>
    </row>
    <row r="67" spans="1:5" s="191" customFormat="1" x14ac:dyDescent="0.25">
      <c r="A67" s="56" t="s">
        <v>73</v>
      </c>
      <c r="B67" s="213">
        <f t="shared" si="2"/>
        <v>7031.1023051073735</v>
      </c>
      <c r="C67" s="190">
        <f>C66+C58+C50</f>
        <v>7031102.3051073737</v>
      </c>
      <c r="D67" s="56" t="s">
        <v>73</v>
      </c>
      <c r="E67" s="261">
        <f>+E66+E58+E50</f>
        <v>7110585.7511368832</v>
      </c>
    </row>
    <row r="68" spans="1:5" x14ac:dyDescent="0.25">
      <c r="A68" s="54" t="s">
        <v>74</v>
      </c>
      <c r="B68" s="212">
        <f t="shared" si="2"/>
        <v>0</v>
      </c>
      <c r="C68" s="46"/>
      <c r="D68" s="54" t="s">
        <v>74</v>
      </c>
      <c r="E68" s="259"/>
    </row>
    <row r="69" spans="1:5" ht="15" x14ac:dyDescent="0.2">
      <c r="A69" s="55" t="s">
        <v>75</v>
      </c>
      <c r="B69" s="212">
        <f t="shared" si="2"/>
        <v>19.286572869278341</v>
      </c>
      <c r="C69" s="188">
        <f>SM!I39</f>
        <v>19286.572869278341</v>
      </c>
      <c r="D69" s="55" t="s">
        <v>75</v>
      </c>
      <c r="E69" s="259">
        <v>23572.676508594705</v>
      </c>
    </row>
    <row r="70" spans="1:5" ht="15" x14ac:dyDescent="0.2">
      <c r="A70" s="55" t="s">
        <v>76</v>
      </c>
      <c r="B70" s="212">
        <f t="shared" si="2"/>
        <v>2485.7225278040642</v>
      </c>
      <c r="C70" s="188">
        <f>SM!I40</f>
        <v>2485722.5278040641</v>
      </c>
      <c r="D70" s="55" t="s">
        <v>76</v>
      </c>
      <c r="E70" s="259">
        <v>3034787.1746027293</v>
      </c>
    </row>
    <row r="71" spans="1:5" ht="15" x14ac:dyDescent="0.2">
      <c r="A71" s="55" t="s">
        <v>77</v>
      </c>
      <c r="B71" s="212">
        <f t="shared" si="2"/>
        <v>0.12051346896818407</v>
      </c>
      <c r="C71" s="188">
        <f>SM!I41</f>
        <v>120.51346896818407</v>
      </c>
      <c r="D71" s="55" t="s">
        <v>77</v>
      </c>
      <c r="E71" s="260">
        <v>106425.45518437281</v>
      </c>
    </row>
    <row r="72" spans="1:5" s="191" customFormat="1" x14ac:dyDescent="0.25">
      <c r="A72" s="56" t="s">
        <v>78</v>
      </c>
      <c r="B72" s="213">
        <f t="shared" si="2"/>
        <v>2505.1296141423109</v>
      </c>
      <c r="C72" s="190">
        <f>SUM(C69:C71)</f>
        <v>2505129.6141423108</v>
      </c>
      <c r="D72" s="56" t="s">
        <v>78</v>
      </c>
      <c r="E72" s="261">
        <f>SUM(E69:E71)</f>
        <v>3164785.3062956966</v>
      </c>
    </row>
    <row r="73" spans="1:5" x14ac:dyDescent="0.25">
      <c r="A73" s="54" t="s">
        <v>79</v>
      </c>
      <c r="B73" s="212">
        <f t="shared" si="2"/>
        <v>0</v>
      </c>
      <c r="C73" s="46"/>
      <c r="D73" s="54" t="s">
        <v>79</v>
      </c>
      <c r="E73" s="261"/>
    </row>
    <row r="74" spans="1:5" ht="15" x14ac:dyDescent="0.2">
      <c r="A74" s="55" t="s">
        <v>75</v>
      </c>
      <c r="B74" s="212">
        <f t="shared" si="2"/>
        <v>18.638495250735751</v>
      </c>
      <c r="C74" s="188">
        <f>SM!I44</f>
        <v>18638.495250735752</v>
      </c>
      <c r="D74" s="55" t="s">
        <v>75</v>
      </c>
      <c r="E74" s="259">
        <v>23978.896127378219</v>
      </c>
    </row>
    <row r="75" spans="1:5" ht="15" x14ac:dyDescent="0.2">
      <c r="A75" s="55" t="s">
        <v>76</v>
      </c>
      <c r="B75" s="212">
        <f t="shared" si="2"/>
        <v>1443.1128127479103</v>
      </c>
      <c r="C75" s="188">
        <f>SM!I45</f>
        <v>1443112.8127479104</v>
      </c>
      <c r="D75" s="55" t="s">
        <v>76</v>
      </c>
      <c r="E75" s="259">
        <v>1856537.2155746219</v>
      </c>
    </row>
    <row r="76" spans="1:5" ht="15" x14ac:dyDescent="0.2">
      <c r="A76" s="55" t="s">
        <v>77</v>
      </c>
      <c r="B76" s="212">
        <f t="shared" si="2"/>
        <v>2.4036678909869123E-2</v>
      </c>
      <c r="C76" s="188">
        <f>SM!I46</f>
        <v>24.036678909869124</v>
      </c>
      <c r="D76" s="55" t="s">
        <v>77</v>
      </c>
      <c r="E76" s="260">
        <v>3710.6539492729594</v>
      </c>
    </row>
    <row r="77" spans="1:5" s="191" customFormat="1" x14ac:dyDescent="0.25">
      <c r="A77" s="56" t="s">
        <v>80</v>
      </c>
      <c r="B77" s="213">
        <f t="shared" si="2"/>
        <v>1461.7753446775559</v>
      </c>
      <c r="C77" s="194">
        <f>SUM(C74:C76)</f>
        <v>1461775.3446775558</v>
      </c>
      <c r="D77" s="56" t="s">
        <v>80</v>
      </c>
      <c r="E77" s="261">
        <f>SUM(E74:E76)</f>
        <v>1884226.7656512733</v>
      </c>
    </row>
    <row r="78" spans="1:5" s="191" customFormat="1" x14ac:dyDescent="0.25">
      <c r="A78" s="56" t="s">
        <v>81</v>
      </c>
      <c r="B78" s="213">
        <f t="shared" si="2"/>
        <v>3966.9049588198668</v>
      </c>
      <c r="C78" s="190">
        <f>C77+C72</f>
        <v>3966904.9588198666</v>
      </c>
      <c r="D78" s="56" t="s">
        <v>81</v>
      </c>
      <c r="E78" s="261">
        <f>+E77+E72</f>
        <v>5049012.0719469702</v>
      </c>
    </row>
    <row r="79" spans="1:5" s="191" customFormat="1" x14ac:dyDescent="0.25">
      <c r="A79" s="56" t="s">
        <v>82</v>
      </c>
      <c r="B79" s="213">
        <f t="shared" si="2"/>
        <v>4507.7433483034029</v>
      </c>
      <c r="C79" s="190">
        <f>C58+C45</f>
        <v>4507743.3483034028</v>
      </c>
      <c r="D79" s="56" t="s">
        <v>82</v>
      </c>
      <c r="E79" s="261">
        <f>+E72+E58+E45</f>
        <v>7645955.460620936</v>
      </c>
    </row>
    <row r="80" spans="1:5" s="191" customFormat="1" x14ac:dyDescent="0.25">
      <c r="A80" s="56" t="s">
        <v>83</v>
      </c>
      <c r="B80" s="213">
        <f t="shared" si="2"/>
        <v>2523.358956803972</v>
      </c>
      <c r="C80" s="190">
        <f>C66+C49</f>
        <v>2523358.9568039719</v>
      </c>
      <c r="D80" s="56" t="s">
        <v>83</v>
      </c>
      <c r="E80" s="261">
        <f>+E77+E66+E49</f>
        <v>4513642.3624629173</v>
      </c>
    </row>
    <row r="81" spans="1:5" s="191" customFormat="1" x14ac:dyDescent="0.25">
      <c r="A81" s="58" t="s">
        <v>84</v>
      </c>
      <c r="B81" s="213">
        <f t="shared" si="2"/>
        <v>7031.1023051073744</v>
      </c>
      <c r="C81" s="190">
        <f>C79+C80</f>
        <v>7031102.3051073747</v>
      </c>
      <c r="D81" s="58" t="s">
        <v>84</v>
      </c>
      <c r="E81" s="261">
        <f>+E80+E79</f>
        <v>12159597.823083853</v>
      </c>
    </row>
    <row r="82" spans="1:5" x14ac:dyDescent="0.25">
      <c r="A82" s="53" t="s">
        <v>85</v>
      </c>
      <c r="B82" s="212">
        <f t="shared" si="2"/>
        <v>0</v>
      </c>
      <c r="C82" s="46"/>
      <c r="D82" s="53" t="s">
        <v>85</v>
      </c>
      <c r="E82" s="259"/>
    </row>
    <row r="83" spans="1:5" x14ac:dyDescent="0.25">
      <c r="A83" s="54" t="s">
        <v>86</v>
      </c>
      <c r="B83" s="212">
        <f t="shared" si="2"/>
        <v>0</v>
      </c>
      <c r="C83" s="46"/>
      <c r="D83" s="54" t="s">
        <v>86</v>
      </c>
      <c r="E83" s="259"/>
    </row>
    <row r="84" spans="1:5" ht="15" x14ac:dyDescent="0.2">
      <c r="A84" s="55" t="s">
        <v>87</v>
      </c>
      <c r="B84" s="212">
        <f t="shared" si="2"/>
        <v>220.71275460676443</v>
      </c>
      <c r="C84" s="188">
        <f>SM!I54</f>
        <v>220712.75460676444</v>
      </c>
      <c r="D84" s="55" t="s">
        <v>87</v>
      </c>
      <c r="E84" s="259">
        <v>269467.69460281415</v>
      </c>
    </row>
    <row r="85" spans="1:5" ht="15" x14ac:dyDescent="0.2">
      <c r="A85" s="55" t="s">
        <v>88</v>
      </c>
      <c r="B85" s="212">
        <f t="shared" si="2"/>
        <v>10502.838856790786</v>
      </c>
      <c r="C85" s="188">
        <f>SM!I55</f>
        <v>10502838.856790787</v>
      </c>
      <c r="D85" s="55" t="s">
        <v>88</v>
      </c>
      <c r="E85" s="260">
        <v>12822891.810519448</v>
      </c>
    </row>
    <row r="86" spans="1:5" s="191" customFormat="1" x14ac:dyDescent="0.25">
      <c r="A86" s="56" t="s">
        <v>89</v>
      </c>
      <c r="B86" s="213">
        <f t="shared" si="2"/>
        <v>10723.551611397552</v>
      </c>
      <c r="C86" s="190">
        <f>SUM(C84:C85)</f>
        <v>10723551.611397551</v>
      </c>
      <c r="D86" s="56" t="s">
        <v>89</v>
      </c>
      <c r="E86" s="261">
        <f>SUM(E84:E85)</f>
        <v>13092359.505122261</v>
      </c>
    </row>
    <row r="87" spans="1:5" x14ac:dyDescent="0.25">
      <c r="A87" s="54" t="s">
        <v>90</v>
      </c>
      <c r="B87" s="212">
        <f t="shared" si="2"/>
        <v>0</v>
      </c>
      <c r="C87" s="46"/>
      <c r="D87" s="54" t="s">
        <v>90</v>
      </c>
      <c r="E87" s="259"/>
    </row>
    <row r="88" spans="1:5" ht="15" x14ac:dyDescent="0.2">
      <c r="A88" s="55" t="s">
        <v>87</v>
      </c>
      <c r="B88" s="212">
        <f t="shared" si="2"/>
        <v>1161.2416118042734</v>
      </c>
      <c r="C88" s="188">
        <f>SM!I58</f>
        <v>1161241.6118042734</v>
      </c>
      <c r="D88" s="55" t="s">
        <v>87</v>
      </c>
      <c r="E88" s="259">
        <v>1493915.9271672487</v>
      </c>
    </row>
    <row r="89" spans="1:5" ht="15" x14ac:dyDescent="0.2">
      <c r="A89" s="55" t="s">
        <v>88</v>
      </c>
      <c r="B89" s="212">
        <f t="shared" si="2"/>
        <v>15306.040737148611</v>
      </c>
      <c r="C89" s="188">
        <f>SM!I59</f>
        <v>15306040.737148611</v>
      </c>
      <c r="D89" s="55" t="s">
        <v>88</v>
      </c>
      <c r="E89" s="260">
        <v>19690939.255586274</v>
      </c>
    </row>
    <row r="90" spans="1:5" s="191" customFormat="1" ht="16.5" thickBot="1" x14ac:dyDescent="0.3">
      <c r="A90" s="56" t="s">
        <v>91</v>
      </c>
      <c r="B90" s="213">
        <f t="shared" si="2"/>
        <v>16467.282348952886</v>
      </c>
      <c r="C90" s="193">
        <f>SUM(C88:C89)</f>
        <v>16467282.348952884</v>
      </c>
      <c r="D90" s="56" t="s">
        <v>91</v>
      </c>
      <c r="E90" s="262">
        <f>SUM(E88:E89)</f>
        <v>21184855.182753522</v>
      </c>
    </row>
    <row r="91" spans="1:5" s="191" customFormat="1" x14ac:dyDescent="0.25">
      <c r="A91" s="56" t="s">
        <v>25</v>
      </c>
      <c r="B91" s="213">
        <f t="shared" si="2"/>
        <v>27190.833960350436</v>
      </c>
      <c r="C91" s="190">
        <f>C90+C86</f>
        <v>27190833.960350435</v>
      </c>
      <c r="D91" s="56" t="s">
        <v>25</v>
      </c>
      <c r="E91" s="261">
        <f>+E90+E86</f>
        <v>34277214.687875785</v>
      </c>
    </row>
    <row r="92" spans="1:5" x14ac:dyDescent="0.25">
      <c r="A92" s="54" t="s">
        <v>92</v>
      </c>
      <c r="B92" s="212">
        <f t="shared" si="2"/>
        <v>0</v>
      </c>
      <c r="C92" s="46"/>
      <c r="D92" s="54" t="s">
        <v>92</v>
      </c>
      <c r="E92" s="259"/>
    </row>
    <row r="93" spans="1:5" ht="15" x14ac:dyDescent="0.2">
      <c r="A93" s="55" t="s">
        <v>87</v>
      </c>
      <c r="B93" s="212">
        <f t="shared" si="2"/>
        <v>66.741718568005226</v>
      </c>
      <c r="C93" s="188">
        <f>SM!I63</f>
        <v>66741.718568005221</v>
      </c>
      <c r="D93" s="55" t="s">
        <v>87</v>
      </c>
      <c r="E93" s="259">
        <v>81484.810736891581</v>
      </c>
    </row>
    <row r="94" spans="1:5" ht="15" x14ac:dyDescent="0.2">
      <c r="A94" s="55" t="s">
        <v>88</v>
      </c>
      <c r="B94" s="212">
        <f t="shared" si="2"/>
        <v>1196.3735513505003</v>
      </c>
      <c r="C94" s="188">
        <f>SM!I64</f>
        <v>1196373.5513505002</v>
      </c>
      <c r="D94" s="55" t="s">
        <v>88</v>
      </c>
      <c r="E94" s="260">
        <v>1460649.7179584389</v>
      </c>
    </row>
    <row r="95" spans="1:5" s="191" customFormat="1" x14ac:dyDescent="0.25">
      <c r="A95" s="56" t="s">
        <v>93</v>
      </c>
      <c r="B95" s="213">
        <f t="shared" si="2"/>
        <v>1263.1152699185054</v>
      </c>
      <c r="C95" s="190">
        <f>SUM(C93:C94)</f>
        <v>1263115.2699185053</v>
      </c>
      <c r="D95" s="56" t="s">
        <v>93</v>
      </c>
      <c r="E95" s="261">
        <f>SUM(E93:E94)</f>
        <v>1542134.5286953305</v>
      </c>
    </row>
    <row r="96" spans="1:5" x14ac:dyDescent="0.25">
      <c r="A96" s="54" t="s">
        <v>94</v>
      </c>
      <c r="B96" s="212">
        <f t="shared" si="2"/>
        <v>0</v>
      </c>
      <c r="C96" s="46"/>
      <c r="D96" s="54" t="s">
        <v>94</v>
      </c>
      <c r="E96" s="259"/>
    </row>
    <row r="97" spans="1:5" ht="15" x14ac:dyDescent="0.2">
      <c r="A97" s="55" t="s">
        <v>87</v>
      </c>
      <c r="B97" s="212">
        <f t="shared" si="2"/>
        <v>130.61141186748051</v>
      </c>
      <c r="C97" s="188">
        <f>SM!I67</f>
        <v>130611.41186748051</v>
      </c>
      <c r="D97" s="55" t="s">
        <v>87</v>
      </c>
      <c r="E97" s="259">
        <v>168029.17366650337</v>
      </c>
    </row>
    <row r="98" spans="1:5" ht="15" x14ac:dyDescent="0.2">
      <c r="A98" s="55" t="s">
        <v>88</v>
      </c>
      <c r="B98" s="212">
        <f t="shared" si="2"/>
        <v>1911.7072736623697</v>
      </c>
      <c r="C98" s="188">
        <f>SM!I68</f>
        <v>1911707.2736623697</v>
      </c>
      <c r="D98" s="55" t="s">
        <v>88</v>
      </c>
      <c r="E98" s="260">
        <v>2459376.167004819</v>
      </c>
    </row>
    <row r="99" spans="1:5" s="191" customFormat="1" ht="16.5" thickBot="1" x14ac:dyDescent="0.3">
      <c r="A99" s="56" t="s">
        <v>95</v>
      </c>
      <c r="B99" s="213">
        <f t="shared" si="2"/>
        <v>2042.3186855298502</v>
      </c>
      <c r="C99" s="193">
        <f>SUM(C97:C98)</f>
        <v>2042318.6855298502</v>
      </c>
      <c r="D99" s="56" t="s">
        <v>95</v>
      </c>
      <c r="E99" s="262">
        <f>SUM(E97:E98)</f>
        <v>2627405.3406713223</v>
      </c>
    </row>
    <row r="100" spans="1:5" s="191" customFormat="1" x14ac:dyDescent="0.25">
      <c r="A100" s="56" t="s">
        <v>96</v>
      </c>
      <c r="B100" s="213">
        <f t="shared" si="2"/>
        <v>3305.4339554483554</v>
      </c>
      <c r="C100" s="190">
        <f>C99+C95</f>
        <v>3305433.9554483555</v>
      </c>
      <c r="D100" s="56" t="s">
        <v>96</v>
      </c>
      <c r="E100" s="261">
        <f>+E99+E95</f>
        <v>4169539.8693666528</v>
      </c>
    </row>
    <row r="101" spans="1:5" x14ac:dyDescent="0.25">
      <c r="A101" s="53" t="s">
        <v>97</v>
      </c>
      <c r="B101" s="212">
        <f t="shared" si="2"/>
        <v>0</v>
      </c>
      <c r="C101" s="46"/>
      <c r="D101" s="53" t="s">
        <v>97</v>
      </c>
      <c r="E101" s="259"/>
    </row>
    <row r="102" spans="1:5" ht="15" x14ac:dyDescent="0.2">
      <c r="A102" s="55" t="s">
        <v>98</v>
      </c>
      <c r="B102" s="212">
        <f t="shared" si="2"/>
        <v>16.210477763593055</v>
      </c>
      <c r="C102" s="188">
        <f>SM!I72</f>
        <v>16210.477763593053</v>
      </c>
      <c r="D102" s="55" t="s">
        <v>98</v>
      </c>
      <c r="E102" s="259">
        <v>0</v>
      </c>
    </row>
    <row r="103" spans="1:5" ht="15" x14ac:dyDescent="0.2">
      <c r="A103" s="55" t="s">
        <v>99</v>
      </c>
      <c r="B103" s="212">
        <f t="shared" si="2"/>
        <v>0</v>
      </c>
      <c r="C103" s="188">
        <f>SM!I73</f>
        <v>0</v>
      </c>
      <c r="D103" s="55" t="s">
        <v>99</v>
      </c>
      <c r="E103" s="260">
        <v>115904.28063991565</v>
      </c>
    </row>
    <row r="104" spans="1:5" s="191" customFormat="1" x14ac:dyDescent="0.25">
      <c r="A104" s="54" t="s">
        <v>100</v>
      </c>
      <c r="B104" s="213">
        <f t="shared" si="2"/>
        <v>16.210477763593055</v>
      </c>
      <c r="C104" s="190">
        <f>SUM(C102:C103)</f>
        <v>16210.477763593053</v>
      </c>
      <c r="D104" s="54" t="s">
        <v>100</v>
      </c>
      <c r="E104" s="261">
        <f>SUM(E102:E103)</f>
        <v>115904.28063991565</v>
      </c>
    </row>
    <row r="105" spans="1:5" ht="15" x14ac:dyDescent="0.2">
      <c r="A105" s="55" t="s">
        <v>101</v>
      </c>
      <c r="B105" s="212">
        <f t="shared" si="2"/>
        <v>28.19728138988371</v>
      </c>
      <c r="C105" s="188">
        <f>SM!I75</f>
        <v>28197.281389883708</v>
      </c>
      <c r="D105" s="55" t="s">
        <v>101</v>
      </c>
      <c r="E105" s="259">
        <v>2000965.4477561347</v>
      </c>
    </row>
    <row r="106" spans="1:5" ht="15" x14ac:dyDescent="0.2">
      <c r="A106" s="55" t="s">
        <v>102</v>
      </c>
      <c r="B106" s="212">
        <f t="shared" si="2"/>
        <v>0</v>
      </c>
      <c r="C106" s="188">
        <f>SM!I76</f>
        <v>0</v>
      </c>
      <c r="D106" s="55" t="s">
        <v>102</v>
      </c>
      <c r="E106" s="260">
        <v>1996196.4698171124</v>
      </c>
    </row>
    <row r="107" spans="1:5" s="191" customFormat="1" ht="16.5" thickBot="1" x14ac:dyDescent="0.3">
      <c r="A107" s="54" t="s">
        <v>103</v>
      </c>
      <c r="B107" s="213">
        <f t="shared" si="2"/>
        <v>28.19728138988371</v>
      </c>
      <c r="C107" s="193">
        <f>C105+C106</f>
        <v>28197.281389883708</v>
      </c>
      <c r="D107" s="54" t="s">
        <v>103</v>
      </c>
      <c r="E107" s="263">
        <f>SUM(E105:E106)</f>
        <v>3997161.9175732471</v>
      </c>
    </row>
    <row r="108" spans="1:5" s="191" customFormat="1" x14ac:dyDescent="0.25">
      <c r="A108" s="54" t="s">
        <v>104</v>
      </c>
      <c r="B108" s="213">
        <f t="shared" ref="B108:B154" si="3">+C108/1000</f>
        <v>44.407759153476761</v>
      </c>
      <c r="C108" s="190">
        <f>C107+C104</f>
        <v>44407.759153476763</v>
      </c>
      <c r="D108" s="54" t="s">
        <v>104</v>
      </c>
      <c r="E108" s="261">
        <f>+E107+E104</f>
        <v>4113066.1982131628</v>
      </c>
    </row>
    <row r="109" spans="1:5" s="191" customFormat="1" x14ac:dyDescent="0.25">
      <c r="A109" s="56" t="s">
        <v>105</v>
      </c>
      <c r="B109" s="213">
        <f t="shared" si="3"/>
        <v>12002.87735907965</v>
      </c>
      <c r="C109" s="190">
        <f>C86+C95+C104</f>
        <v>12002877.35907965</v>
      </c>
      <c r="D109" s="56" t="s">
        <v>105</v>
      </c>
      <c r="E109" s="261">
        <f>+E104+E95+E86+E79</f>
        <v>22396353.775078446</v>
      </c>
    </row>
    <row r="110" spans="1:5" s="191" customFormat="1" ht="16.5" thickBot="1" x14ac:dyDescent="0.3">
      <c r="A110" s="56" t="s">
        <v>106</v>
      </c>
      <c r="B110" s="213">
        <f t="shared" si="3"/>
        <v>18537.798315872617</v>
      </c>
      <c r="C110" s="195">
        <f>C90+C99+C107</f>
        <v>18537798.315872617</v>
      </c>
      <c r="D110" s="56" t="s">
        <v>106</v>
      </c>
      <c r="E110" s="261">
        <f>+E107+E99+E90+E80</f>
        <v>32323064.803461008</v>
      </c>
    </row>
    <row r="111" spans="1:5" s="191" customFormat="1" x14ac:dyDescent="0.25">
      <c r="A111" s="58" t="s">
        <v>107</v>
      </c>
      <c r="B111" s="213">
        <f t="shared" si="3"/>
        <v>30540.675674952268</v>
      </c>
      <c r="C111" s="190">
        <f>C109+C110</f>
        <v>30540675.674952269</v>
      </c>
      <c r="D111" s="58" t="s">
        <v>107</v>
      </c>
      <c r="E111" s="261">
        <f>+E110+E109</f>
        <v>54719418.578539453</v>
      </c>
    </row>
    <row r="112" spans="1:5" x14ac:dyDescent="0.25">
      <c r="A112" s="59" t="s">
        <v>108</v>
      </c>
      <c r="B112" s="212">
        <f t="shared" si="3"/>
        <v>300.49613065357511</v>
      </c>
      <c r="C112" s="188">
        <f>SM!I82</f>
        <v>300496.13065357512</v>
      </c>
      <c r="D112" s="59" t="s">
        <v>108</v>
      </c>
      <c r="E112" s="261">
        <v>530384.04873875726</v>
      </c>
    </row>
    <row r="113" spans="1:7" ht="15" x14ac:dyDescent="0.2">
      <c r="A113" s="59" t="s">
        <v>109</v>
      </c>
      <c r="B113" s="212">
        <f t="shared" si="3"/>
        <v>0</v>
      </c>
      <c r="C113" s="188">
        <v>0</v>
      </c>
      <c r="D113" s="59" t="s">
        <v>109</v>
      </c>
      <c r="E113" s="260"/>
    </row>
    <row r="114" spans="1:7" s="191" customFormat="1" x14ac:dyDescent="0.25">
      <c r="A114" s="58" t="s">
        <v>110</v>
      </c>
      <c r="B114" s="213">
        <f t="shared" si="3"/>
        <v>41839.179069533086</v>
      </c>
      <c r="C114" s="190">
        <f>C111+C81+C78+C112</f>
        <v>41839179.069533087</v>
      </c>
      <c r="D114" s="58" t="s">
        <v>110</v>
      </c>
      <c r="E114" s="261">
        <v>55249802.627278209</v>
      </c>
    </row>
    <row r="115" spans="1:7" x14ac:dyDescent="0.25">
      <c r="B115" s="212">
        <f t="shared" si="3"/>
        <v>0</v>
      </c>
      <c r="D115" s="19"/>
      <c r="E115" s="259"/>
    </row>
    <row r="116" spans="1:7" x14ac:dyDescent="0.25">
      <c r="A116" s="60" t="s">
        <v>111</v>
      </c>
      <c r="B116" s="212">
        <f t="shared" si="3"/>
        <v>0</v>
      </c>
      <c r="D116" s="60" t="s">
        <v>111</v>
      </c>
      <c r="E116" s="261"/>
    </row>
    <row r="117" spans="1:7" s="191" customFormat="1" x14ac:dyDescent="0.25">
      <c r="A117" s="62" t="s">
        <v>112</v>
      </c>
      <c r="B117" s="213">
        <f t="shared" si="3"/>
        <v>630.89416587007725</v>
      </c>
      <c r="C117" s="52">
        <f>PER!F9</f>
        <v>630894.16587007721</v>
      </c>
      <c r="D117" s="61" t="s">
        <v>112</v>
      </c>
      <c r="E117" s="259">
        <v>630926.11540777457</v>
      </c>
    </row>
    <row r="118" spans="1:7" x14ac:dyDescent="0.25">
      <c r="A118" s="62" t="s">
        <v>113</v>
      </c>
      <c r="B118" s="212">
        <f t="shared" si="3"/>
        <v>0</v>
      </c>
      <c r="C118" s="45"/>
      <c r="D118" s="62" t="s">
        <v>113</v>
      </c>
      <c r="E118" s="261"/>
    </row>
    <row r="119" spans="1:7" ht="15" x14ac:dyDescent="0.2">
      <c r="A119" s="63" t="s">
        <v>114</v>
      </c>
      <c r="B119" s="212">
        <f t="shared" si="3"/>
        <v>4475.5987628679968</v>
      </c>
      <c r="C119" s="45">
        <f>PER!F11</f>
        <v>4475598.7628679965</v>
      </c>
      <c r="D119" s="63" t="s">
        <v>114</v>
      </c>
      <c r="E119" s="259">
        <v>4474780.8277328452</v>
      </c>
      <c r="F119" s="45"/>
      <c r="G119" s="196"/>
    </row>
    <row r="120" spans="1:7" ht="15" x14ac:dyDescent="0.2">
      <c r="A120" s="63" t="s">
        <v>115</v>
      </c>
      <c r="B120" s="212">
        <f t="shared" si="3"/>
        <v>1450.5281894503994</v>
      </c>
      <c r="C120" s="45">
        <f>PER!F12</f>
        <v>1450528.1894503995</v>
      </c>
      <c r="D120" s="63" t="s">
        <v>115</v>
      </c>
      <c r="E120" s="259">
        <v>1450601.6466284448</v>
      </c>
    </row>
    <row r="121" spans="1:7" ht="15" x14ac:dyDescent="0.2">
      <c r="A121" s="63" t="s">
        <v>116</v>
      </c>
      <c r="B121" s="212">
        <f t="shared" si="3"/>
        <v>93.310881811527281</v>
      </c>
      <c r="C121" s="45">
        <f>PER!F13</f>
        <v>93310.881811527288</v>
      </c>
      <c r="D121" s="63" t="s">
        <v>116</v>
      </c>
      <c r="E121" s="260">
        <v>93315.607230935624</v>
      </c>
    </row>
    <row r="122" spans="1:7" s="191" customFormat="1" x14ac:dyDescent="0.25">
      <c r="A122" s="62" t="s">
        <v>117</v>
      </c>
      <c r="B122" s="213">
        <f t="shared" si="3"/>
        <v>6019.4378341299243</v>
      </c>
      <c r="C122" s="52">
        <f>SUM(C119:C121)</f>
        <v>6019437.834129924</v>
      </c>
      <c r="D122" s="62" t="s">
        <v>117</v>
      </c>
      <c r="E122" s="263">
        <v>6018698.0815922255</v>
      </c>
    </row>
    <row r="123" spans="1:7" s="191" customFormat="1" x14ac:dyDescent="0.25">
      <c r="A123" s="56" t="s">
        <v>118</v>
      </c>
      <c r="B123" s="213">
        <f t="shared" si="3"/>
        <v>6650.3320000000012</v>
      </c>
      <c r="C123" s="52">
        <f>+C122+C117</f>
        <v>6650332.0000000009</v>
      </c>
      <c r="D123" s="56" t="s">
        <v>118</v>
      </c>
      <c r="E123" s="261">
        <v>6649624.1969999997</v>
      </c>
    </row>
    <row r="124" spans="1:7" x14ac:dyDescent="0.25">
      <c r="B124" s="212">
        <f t="shared" si="3"/>
        <v>0</v>
      </c>
      <c r="D124" s="19"/>
      <c r="E124" s="19"/>
    </row>
    <row r="125" spans="1:7" ht="15" x14ac:dyDescent="0.2">
      <c r="A125" s="61" t="s">
        <v>119</v>
      </c>
      <c r="B125" s="212">
        <f t="shared" si="3"/>
        <v>114.86191456283282</v>
      </c>
      <c r="C125" s="45">
        <f>PS!M11</f>
        <v>114861.91456283283</v>
      </c>
      <c r="D125" s="61" t="s">
        <v>119</v>
      </c>
      <c r="E125" s="259">
        <v>181652.96768389785</v>
      </c>
    </row>
    <row r="126" spans="1:7" ht="15" x14ac:dyDescent="0.2">
      <c r="A126" s="65" t="s">
        <v>120</v>
      </c>
      <c r="B126" s="212">
        <f t="shared" si="3"/>
        <v>0</v>
      </c>
      <c r="C126" s="45">
        <f>PS!M12</f>
        <v>0</v>
      </c>
      <c r="D126" s="65" t="s">
        <v>120</v>
      </c>
      <c r="E126" s="259">
        <v>0</v>
      </c>
    </row>
    <row r="127" spans="1:7" ht="15" x14ac:dyDescent="0.2">
      <c r="A127" s="65" t="s">
        <v>121</v>
      </c>
      <c r="B127" s="212">
        <f t="shared" si="3"/>
        <v>0</v>
      </c>
      <c r="C127" s="45">
        <f>PS!M13</f>
        <v>0</v>
      </c>
      <c r="D127" s="65" t="s">
        <v>121</v>
      </c>
      <c r="E127" s="260">
        <v>0</v>
      </c>
    </row>
    <row r="128" spans="1:7" x14ac:dyDescent="0.25">
      <c r="A128" s="54" t="s">
        <v>122</v>
      </c>
      <c r="B128" s="212">
        <f t="shared" si="3"/>
        <v>0</v>
      </c>
      <c r="C128" s="52">
        <f>SUM(C126:C127)</f>
        <v>0</v>
      </c>
      <c r="D128" s="54" t="s">
        <v>122</v>
      </c>
      <c r="E128" s="261">
        <f>SUM(E125:E127)</f>
        <v>181652.96768389785</v>
      </c>
    </row>
    <row r="129" spans="1:5" x14ac:dyDescent="0.25">
      <c r="A129" s="54" t="s">
        <v>123</v>
      </c>
      <c r="B129" s="212"/>
      <c r="C129" s="52"/>
      <c r="D129" s="54" t="s">
        <v>123</v>
      </c>
      <c r="E129" s="259"/>
    </row>
    <row r="130" spans="1:5" x14ac:dyDescent="0.25">
      <c r="A130" s="54" t="s">
        <v>124</v>
      </c>
      <c r="B130" s="212"/>
      <c r="C130" s="45"/>
      <c r="D130" s="54" t="s">
        <v>124</v>
      </c>
      <c r="E130" s="259"/>
    </row>
    <row r="131" spans="1:5" ht="15" x14ac:dyDescent="0.2">
      <c r="A131" s="63" t="s">
        <v>125</v>
      </c>
      <c r="B131" s="212">
        <f t="shared" si="3"/>
        <v>14.237109106302054</v>
      </c>
      <c r="C131" s="45">
        <f>PS!M17</f>
        <v>14237.109106302054</v>
      </c>
      <c r="D131" s="63" t="s">
        <v>125</v>
      </c>
      <c r="E131" s="259">
        <v>39521.205732979455</v>
      </c>
    </row>
    <row r="132" spans="1:5" ht="15" x14ac:dyDescent="0.2">
      <c r="A132" s="63" t="s">
        <v>126</v>
      </c>
      <c r="B132" s="212">
        <f t="shared" si="3"/>
        <v>672.68797445910388</v>
      </c>
      <c r="C132" s="45">
        <f>PS!M18</f>
        <v>672687.97445910389</v>
      </c>
      <c r="D132" s="63" t="s">
        <v>126</v>
      </c>
      <c r="E132" s="259">
        <v>600977.82030059886</v>
      </c>
    </row>
    <row r="133" spans="1:5" ht="15" x14ac:dyDescent="0.2">
      <c r="A133" s="63" t="s">
        <v>127</v>
      </c>
      <c r="B133" s="212">
        <f t="shared" si="3"/>
        <v>533.47398259972874</v>
      </c>
      <c r="C133" s="45">
        <f>PS!M19</f>
        <v>533473.98259972874</v>
      </c>
      <c r="D133" s="63" t="s">
        <v>127</v>
      </c>
      <c r="E133" s="260">
        <v>485322.61319013359</v>
      </c>
    </row>
    <row r="134" spans="1:5" x14ac:dyDescent="0.25">
      <c r="A134" s="66" t="s">
        <v>128</v>
      </c>
      <c r="B134" s="212">
        <f t="shared" si="3"/>
        <v>1206.1619570588325</v>
      </c>
      <c r="C134" s="45">
        <f>C133+C132</f>
        <v>1206161.9570588325</v>
      </c>
      <c r="D134" s="66" t="s">
        <v>128</v>
      </c>
      <c r="E134" s="262">
        <f>+E132+E133</f>
        <v>1086300.4334907325</v>
      </c>
    </row>
    <row r="135" spans="1:5" s="191" customFormat="1" x14ac:dyDescent="0.25">
      <c r="A135" s="56" t="s">
        <v>129</v>
      </c>
      <c r="B135" s="213">
        <f t="shared" si="3"/>
        <v>1220.3990661651346</v>
      </c>
      <c r="C135" s="52">
        <f>C134+C131</f>
        <v>1220399.0661651345</v>
      </c>
      <c r="D135" s="56" t="s">
        <v>129</v>
      </c>
      <c r="E135" s="261">
        <f>+E134+E131</f>
        <v>1125821.6392237118</v>
      </c>
    </row>
    <row r="136" spans="1:5" x14ac:dyDescent="0.25">
      <c r="A136" s="54" t="s">
        <v>130</v>
      </c>
      <c r="B136" s="212">
        <f t="shared" si="3"/>
        <v>0</v>
      </c>
      <c r="C136" s="45"/>
      <c r="D136" s="54" t="s">
        <v>130</v>
      </c>
      <c r="E136" s="259"/>
    </row>
    <row r="137" spans="1:5" ht="15" x14ac:dyDescent="0.2">
      <c r="A137" s="63" t="s">
        <v>125</v>
      </c>
      <c r="B137" s="212">
        <f t="shared" si="3"/>
        <v>20.826301117761943</v>
      </c>
      <c r="C137" s="45">
        <f>PS!M23</f>
        <v>20826.301117761945</v>
      </c>
      <c r="D137" s="63" t="s">
        <v>125</v>
      </c>
      <c r="E137" s="259">
        <v>61212.647870912668</v>
      </c>
    </row>
    <row r="138" spans="1:5" ht="15" x14ac:dyDescent="0.2">
      <c r="A138" s="63" t="s">
        <v>126</v>
      </c>
      <c r="B138" s="212">
        <f t="shared" si="3"/>
        <v>1044.0640053820002</v>
      </c>
      <c r="C138" s="45">
        <f>PS!M24</f>
        <v>1044064.0053820002</v>
      </c>
      <c r="D138" s="63" t="s">
        <v>126</v>
      </c>
      <c r="E138" s="259">
        <v>939378.97753326991</v>
      </c>
    </row>
    <row r="139" spans="1:5" ht="15" x14ac:dyDescent="0.2">
      <c r="A139" s="63" t="s">
        <v>127</v>
      </c>
      <c r="B139" s="212">
        <f t="shared" si="3"/>
        <v>82.451294697871504</v>
      </c>
      <c r="C139" s="45">
        <f>PS!M25</f>
        <v>82451.294697871504</v>
      </c>
      <c r="D139" s="63" t="s">
        <v>127</v>
      </c>
      <c r="E139" s="260">
        <v>74260.862234106637</v>
      </c>
    </row>
    <row r="140" spans="1:5" s="191" customFormat="1" x14ac:dyDescent="0.25">
      <c r="A140" s="66" t="s">
        <v>195</v>
      </c>
      <c r="B140" s="213">
        <f t="shared" si="3"/>
        <v>1126.5153000798716</v>
      </c>
      <c r="C140" s="52">
        <f>C139+C138</f>
        <v>1126515.3000798717</v>
      </c>
      <c r="D140" s="56" t="s">
        <v>131</v>
      </c>
      <c r="E140" s="261">
        <f>SUM(E137:E139)</f>
        <v>1074852.4876382891</v>
      </c>
    </row>
    <row r="141" spans="1:5" s="191" customFormat="1" x14ac:dyDescent="0.25">
      <c r="A141" s="56" t="s">
        <v>131</v>
      </c>
      <c r="B141" s="213">
        <f t="shared" si="3"/>
        <v>1147.3416011976337</v>
      </c>
      <c r="C141" s="52">
        <f>C140+C137</f>
        <v>1147341.6011976337</v>
      </c>
      <c r="D141" s="58" t="s">
        <v>132</v>
      </c>
      <c r="E141" s="261">
        <f>+E140+E135</f>
        <v>2200674.1268620007</v>
      </c>
    </row>
    <row r="142" spans="1:5" s="191" customFormat="1" x14ac:dyDescent="0.25">
      <c r="A142" s="58" t="s">
        <v>132</v>
      </c>
      <c r="B142" s="213">
        <f t="shared" si="3"/>
        <v>2367.7406673627684</v>
      </c>
      <c r="C142" s="52">
        <f>C141+C135</f>
        <v>2367740.6673627682</v>
      </c>
      <c r="D142" s="54" t="s">
        <v>133</v>
      </c>
      <c r="E142" s="259"/>
    </row>
    <row r="143" spans="1:5" x14ac:dyDescent="0.25">
      <c r="A143" s="54" t="s">
        <v>133</v>
      </c>
      <c r="B143" s="213"/>
      <c r="C143" s="52"/>
      <c r="D143" s="55" t="s">
        <v>134</v>
      </c>
      <c r="E143" s="259">
        <v>55158.814918304946</v>
      </c>
    </row>
    <row r="144" spans="1:5" ht="15" x14ac:dyDescent="0.2">
      <c r="A144" s="55" t="s">
        <v>134</v>
      </c>
      <c r="B144" s="212">
        <f t="shared" si="3"/>
        <v>326.92583168821</v>
      </c>
      <c r="C144" s="45">
        <f>PS!M30</f>
        <v>326925.83168821002</v>
      </c>
      <c r="D144" s="63" t="s">
        <v>126</v>
      </c>
      <c r="E144" s="260">
        <v>58300.744073441048</v>
      </c>
    </row>
    <row r="145" spans="1:5" x14ac:dyDescent="0.25">
      <c r="A145" s="63" t="s">
        <v>126</v>
      </c>
      <c r="B145" s="212">
        <f t="shared" si="3"/>
        <v>61.520189126736071</v>
      </c>
      <c r="C145" s="45">
        <f>PS!M31</f>
        <v>61520.18912673607</v>
      </c>
      <c r="D145" s="58" t="s">
        <v>135</v>
      </c>
      <c r="E145" s="261">
        <f>SUM(E143:E144)</f>
        <v>113459.55899174599</v>
      </c>
    </row>
    <row r="146" spans="1:5" s="191" customFormat="1" x14ac:dyDescent="0.25">
      <c r="A146" s="58" t="s">
        <v>135</v>
      </c>
      <c r="B146" s="213">
        <f t="shared" si="3"/>
        <v>388.44602081494611</v>
      </c>
      <c r="C146" s="52">
        <f>SUM(C144:C145)</f>
        <v>388446.0208149461</v>
      </c>
      <c r="D146" s="54" t="s">
        <v>136</v>
      </c>
      <c r="E146" s="259"/>
    </row>
    <row r="147" spans="1:5" x14ac:dyDescent="0.25">
      <c r="A147" s="54" t="s">
        <v>136</v>
      </c>
      <c r="B147" s="212"/>
      <c r="C147" s="45"/>
      <c r="D147" s="55" t="s">
        <v>134</v>
      </c>
      <c r="E147" s="259">
        <v>3198.6796616496727</v>
      </c>
    </row>
    <row r="148" spans="1:5" ht="15" x14ac:dyDescent="0.2">
      <c r="A148" s="55" t="s">
        <v>134</v>
      </c>
      <c r="B148" s="212">
        <f t="shared" si="3"/>
        <v>20.376321678898584</v>
      </c>
      <c r="C148" s="45">
        <f>PS!M34</f>
        <v>20376.321678898585</v>
      </c>
      <c r="D148" s="63" t="s">
        <v>126</v>
      </c>
      <c r="E148" s="260">
        <v>1881.3987498345662</v>
      </c>
    </row>
    <row r="149" spans="1:5" x14ac:dyDescent="0.25">
      <c r="A149" s="63" t="s">
        <v>126</v>
      </c>
      <c r="B149" s="212">
        <f t="shared" si="3"/>
        <v>2.3190755805543777</v>
      </c>
      <c r="C149" s="45">
        <f>PS!M35</f>
        <v>2319.0755805543777</v>
      </c>
      <c r="D149" s="58" t="s">
        <v>137</v>
      </c>
      <c r="E149" s="262">
        <f>SUM(E147:E148)</f>
        <v>5080.078411484239</v>
      </c>
    </row>
    <row r="150" spans="1:5" s="191" customFormat="1" x14ac:dyDescent="0.25">
      <c r="A150" s="58" t="s">
        <v>137</v>
      </c>
      <c r="B150" s="213">
        <f t="shared" si="3"/>
        <v>22.695397259452964</v>
      </c>
      <c r="C150" s="52">
        <f>SUM(C148:C149)</f>
        <v>22695.397259452962</v>
      </c>
      <c r="D150" s="58" t="s">
        <v>138</v>
      </c>
      <c r="E150" s="262">
        <f>+E149+E145</f>
        <v>118539.63740323023</v>
      </c>
    </row>
    <row r="151" spans="1:5" s="191" customFormat="1" x14ac:dyDescent="0.25">
      <c r="A151" s="58" t="s">
        <v>138</v>
      </c>
      <c r="B151" s="213">
        <f t="shared" si="3"/>
        <v>411.14141807439904</v>
      </c>
      <c r="C151" s="52">
        <f>C150+C146</f>
        <v>411141.41807439906</v>
      </c>
      <c r="D151" s="67" t="s">
        <v>139</v>
      </c>
      <c r="E151" s="261">
        <f>+E150+E141+E128</f>
        <v>2500866.7319491287</v>
      </c>
    </row>
    <row r="152" spans="1:5" s="191" customFormat="1" x14ac:dyDescent="0.25">
      <c r="A152" s="67" t="s">
        <v>139</v>
      </c>
      <c r="B152" s="213">
        <f t="shared" si="3"/>
        <v>2893.7440000000006</v>
      </c>
      <c r="C152" s="52">
        <f>C151+C142+C128+C125</f>
        <v>2893744.0000000005</v>
      </c>
      <c r="D152" s="19"/>
      <c r="E152" s="259"/>
    </row>
    <row r="153" spans="1:5" x14ac:dyDescent="0.25">
      <c r="B153" s="212"/>
      <c r="C153" s="45"/>
      <c r="D153" s="68" t="s">
        <v>140</v>
      </c>
      <c r="E153" s="261">
        <f>+E151+E123+E114+E38</f>
        <v>196120709.78760323</v>
      </c>
    </row>
    <row r="154" spans="1:5" s="191" customFormat="1" x14ac:dyDescent="0.25">
      <c r="A154" s="68" t="s">
        <v>140</v>
      </c>
      <c r="B154" s="213">
        <f t="shared" si="3"/>
        <v>186206.91206953308</v>
      </c>
      <c r="C154" s="52">
        <f>C152+C123+C114+C39</f>
        <v>186206912.06953308</v>
      </c>
    </row>
    <row r="155" spans="1:5" x14ac:dyDescent="0.25">
      <c r="B155" s="212"/>
    </row>
    <row r="156" spans="1:5" x14ac:dyDescent="0.25">
      <c r="A156" s="59" t="s">
        <v>141</v>
      </c>
      <c r="B156" s="212"/>
      <c r="C156" s="45"/>
    </row>
  </sheetData>
  <pageMargins left="0.7" right="0.7" top="0.75" bottom="0.75" header="0.3" footer="0.3"/>
  <pageSetup scale="94" orientation="portrait" r:id="rId1"/>
  <rowBreaks count="3" manualBreakCount="3">
    <brk id="39" max="2" man="1"/>
    <brk id="81" max="2" man="1"/>
    <brk id="114" max="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E153"/>
  <sheetViews>
    <sheetView workbookViewId="0">
      <selection activeCell="A30" sqref="A30"/>
    </sheetView>
  </sheetViews>
  <sheetFormatPr defaultRowHeight="15" x14ac:dyDescent="0.25"/>
  <cols>
    <col min="1" max="1" width="56.5703125" bestFit="1" customWidth="1"/>
    <col min="2" max="2" width="15.5703125" bestFit="1" customWidth="1"/>
    <col min="4" max="4" width="51.7109375" bestFit="1" customWidth="1"/>
    <col min="5" max="5" width="11.5703125" bestFit="1" customWidth="1"/>
  </cols>
  <sheetData>
    <row r="1" spans="1:2" ht="15.75" x14ac:dyDescent="0.25">
      <c r="A1" s="17" t="s">
        <v>196</v>
      </c>
      <c r="B1" s="18"/>
    </row>
    <row r="2" spans="1:2" ht="15.75" x14ac:dyDescent="0.25">
      <c r="A2" s="17" t="s">
        <v>202</v>
      </c>
      <c r="B2" s="18"/>
    </row>
    <row r="3" spans="1:2" ht="15.75" x14ac:dyDescent="0.25">
      <c r="A3" s="17"/>
      <c r="B3" s="19"/>
    </row>
    <row r="4" spans="1:2" ht="15.75" x14ac:dyDescent="0.25">
      <c r="A4" s="38"/>
      <c r="B4" s="39" t="s">
        <v>15</v>
      </c>
    </row>
    <row r="5" spans="1:2" ht="15.75" x14ac:dyDescent="0.25">
      <c r="A5" s="23" t="s">
        <v>16</v>
      </c>
      <c r="B5" s="40" t="s">
        <v>17</v>
      </c>
    </row>
    <row r="6" spans="1:2" ht="15.75" x14ac:dyDescent="0.25">
      <c r="A6" s="43" t="s">
        <v>18</v>
      </c>
      <c r="B6" s="19"/>
    </row>
    <row r="7" spans="1:2" ht="15.75" x14ac:dyDescent="0.25">
      <c r="A7" s="42" t="s">
        <v>19</v>
      </c>
      <c r="B7" s="19"/>
    </row>
    <row r="8" spans="1:2" ht="15.75" x14ac:dyDescent="0.25">
      <c r="A8" s="43" t="s">
        <v>20</v>
      </c>
      <c r="B8" s="19"/>
    </row>
    <row r="9" spans="1:2" ht="15.75" x14ac:dyDescent="0.25">
      <c r="A9" s="44" t="s">
        <v>21</v>
      </c>
      <c r="B9" s="250">
        <v>92362173.488054797</v>
      </c>
    </row>
    <row r="10" spans="1:2" ht="15.75" x14ac:dyDescent="0.25">
      <c r="A10" s="44" t="s">
        <v>22</v>
      </c>
      <c r="B10" s="250">
        <v>569694.45412018918</v>
      </c>
    </row>
    <row r="11" spans="1:2" ht="15.75" x14ac:dyDescent="0.25">
      <c r="A11" s="44" t="s">
        <v>23</v>
      </c>
      <c r="B11" s="250">
        <v>25256040.787724428</v>
      </c>
    </row>
    <row r="12" spans="1:2" ht="15.75" x14ac:dyDescent="0.25">
      <c r="A12" s="46" t="s">
        <v>24</v>
      </c>
      <c r="B12" s="251">
        <v>142407.29375495863</v>
      </c>
    </row>
    <row r="13" spans="1:2" ht="15.75" x14ac:dyDescent="0.25">
      <c r="A13" s="48" t="s">
        <v>25</v>
      </c>
      <c r="B13" s="184">
        <v>118330316.02365437</v>
      </c>
    </row>
    <row r="14" spans="1:2" ht="15.75" x14ac:dyDescent="0.25">
      <c r="A14" s="44" t="s">
        <v>26</v>
      </c>
      <c r="B14" s="250">
        <v>5462634.2689347137</v>
      </c>
    </row>
    <row r="15" spans="1:2" ht="15.75" x14ac:dyDescent="0.25">
      <c r="A15" s="44" t="s">
        <v>27</v>
      </c>
      <c r="B15" s="250">
        <v>21223.779138195088</v>
      </c>
    </row>
    <row r="16" spans="1:2" ht="15.75" x14ac:dyDescent="0.25">
      <c r="A16" s="44" t="s">
        <v>28</v>
      </c>
      <c r="B16" s="251">
        <v>395964.30012577982</v>
      </c>
    </row>
    <row r="17" spans="1:2" ht="15.75" x14ac:dyDescent="0.25">
      <c r="A17" s="48" t="s">
        <v>29</v>
      </c>
      <c r="B17" s="184">
        <v>5879822.3481986886</v>
      </c>
    </row>
    <row r="18" spans="1:2" ht="15.75" x14ac:dyDescent="0.25">
      <c r="A18" s="44" t="s">
        <v>151</v>
      </c>
      <c r="B18" s="250">
        <v>1592603.4608779196</v>
      </c>
    </row>
    <row r="19" spans="1:2" ht="15.75" x14ac:dyDescent="0.25">
      <c r="A19" s="44" t="s">
        <v>152</v>
      </c>
      <c r="B19" s="251">
        <v>0</v>
      </c>
    </row>
    <row r="20" spans="1:2" ht="15.75" x14ac:dyDescent="0.25">
      <c r="A20" s="48" t="s">
        <v>32</v>
      </c>
      <c r="B20" s="186">
        <v>1592603.4608779196</v>
      </c>
    </row>
    <row r="21" spans="1:2" ht="15.75" x14ac:dyDescent="0.25">
      <c r="A21" s="48" t="s">
        <v>33</v>
      </c>
      <c r="B21" s="184">
        <v>125802741.83273098</v>
      </c>
    </row>
    <row r="22" spans="1:2" ht="15.75" x14ac:dyDescent="0.25">
      <c r="A22" s="44" t="s">
        <v>34</v>
      </c>
      <c r="B22" s="250">
        <v>4338907.2409644164</v>
      </c>
    </row>
    <row r="23" spans="1:2" ht="15.75" x14ac:dyDescent="0.25">
      <c r="A23" s="44" t="s">
        <v>35</v>
      </c>
      <c r="B23" s="250">
        <v>98796.004828803343</v>
      </c>
    </row>
    <row r="24" spans="1:2" ht="15.75" x14ac:dyDescent="0.25">
      <c r="A24" s="44" t="s">
        <v>36</v>
      </c>
      <c r="B24" s="251">
        <v>1299370.2011464117</v>
      </c>
    </row>
    <row r="25" spans="1:2" ht="15.75" x14ac:dyDescent="0.25">
      <c r="A25" s="48" t="s">
        <v>37</v>
      </c>
      <c r="B25" s="186">
        <v>5737073.4469396314</v>
      </c>
    </row>
    <row r="26" spans="1:2" ht="15.75" x14ac:dyDescent="0.25">
      <c r="A26" s="49" t="s">
        <v>38</v>
      </c>
      <c r="B26" s="184">
        <v>131539815.27967061</v>
      </c>
    </row>
    <row r="27" spans="1:2" ht="15.75" x14ac:dyDescent="0.25">
      <c r="A27" s="49"/>
      <c r="B27" s="252"/>
    </row>
    <row r="28" spans="1:2" ht="15.75" x14ac:dyDescent="0.25">
      <c r="A28" s="43" t="s">
        <v>39</v>
      </c>
      <c r="B28" s="252"/>
    </row>
    <row r="29" spans="1:2" ht="15.75" x14ac:dyDescent="0.25">
      <c r="A29" s="44" t="s">
        <v>40</v>
      </c>
      <c r="B29" s="250">
        <v>133556.97595883088</v>
      </c>
    </row>
    <row r="30" spans="1:2" ht="15.75" x14ac:dyDescent="0.25">
      <c r="A30" s="44" t="s">
        <v>41</v>
      </c>
      <c r="B30" s="250">
        <v>19004.745744916796</v>
      </c>
    </row>
    <row r="31" spans="1:2" ht="15.75" x14ac:dyDescent="0.25">
      <c r="A31" s="44" t="s">
        <v>42</v>
      </c>
      <c r="B31" s="251">
        <v>14432.326590980851</v>
      </c>
    </row>
    <row r="32" spans="1:2" ht="15.75" x14ac:dyDescent="0.25">
      <c r="A32" s="48" t="s">
        <v>43</v>
      </c>
      <c r="B32" s="52">
        <f>SUM(B29:B31)</f>
        <v>166994.04829472851</v>
      </c>
    </row>
    <row r="33" spans="1:5" ht="15.75" x14ac:dyDescent="0.25">
      <c r="A33" s="44" t="s">
        <v>44</v>
      </c>
      <c r="B33" s="250">
        <v>13606.903410542964</v>
      </c>
    </row>
    <row r="34" spans="1:5" ht="15.75" x14ac:dyDescent="0.25">
      <c r="A34" s="44" t="s">
        <v>45</v>
      </c>
      <c r="B34" s="252">
        <v>0</v>
      </c>
    </row>
    <row r="35" spans="1:5" ht="15.75" x14ac:dyDescent="0.25">
      <c r="A35" s="44" t="s">
        <v>46</v>
      </c>
      <c r="B35" s="253">
        <v>0</v>
      </c>
    </row>
    <row r="36" spans="1:5" ht="15.75" x14ac:dyDescent="0.25">
      <c r="A36" s="48" t="s">
        <v>48</v>
      </c>
      <c r="B36" s="254">
        <f>SUM(B33:B35)</f>
        <v>13606.903410542964</v>
      </c>
    </row>
    <row r="37" spans="1:5" ht="15.75" x14ac:dyDescent="0.25">
      <c r="A37" s="49" t="s">
        <v>49</v>
      </c>
      <c r="B37" s="254">
        <f>+B36+B32</f>
        <v>180600.95170527147</v>
      </c>
    </row>
    <row r="38" spans="1:5" ht="15.75" x14ac:dyDescent="0.25">
      <c r="A38" s="51" t="s">
        <v>50</v>
      </c>
      <c r="B38" s="52">
        <f>+B37+B26</f>
        <v>131720416.23137589</v>
      </c>
    </row>
    <row r="39" spans="1:5" x14ac:dyDescent="0.25">
      <c r="A39" s="19"/>
      <c r="B39" s="19"/>
    </row>
    <row r="40" spans="1:5" ht="15.75" x14ac:dyDescent="0.25">
      <c r="A40" s="53" t="s">
        <v>51</v>
      </c>
      <c r="B40" s="19"/>
    </row>
    <row r="41" spans="1:5" ht="15.75" x14ac:dyDescent="0.25">
      <c r="A41" s="53" t="s">
        <v>52</v>
      </c>
      <c r="B41" s="19"/>
    </row>
    <row r="42" spans="1:5" ht="15.75" x14ac:dyDescent="0.25">
      <c r="A42" s="54" t="s">
        <v>53</v>
      </c>
      <c r="B42" s="19"/>
    </row>
    <row r="43" spans="1:5" ht="15.75" x14ac:dyDescent="0.25">
      <c r="A43" s="55" t="s">
        <v>54</v>
      </c>
      <c r="B43" s="255">
        <v>900645.66481179267</v>
      </c>
      <c r="D43" s="247" t="s">
        <v>217</v>
      </c>
      <c r="E43" s="274">
        <f>+B50</f>
        <v>3302981.1231705691</v>
      </c>
    </row>
    <row r="44" spans="1:5" ht="15.75" x14ac:dyDescent="0.25">
      <c r="A44" s="55" t="s">
        <v>55</v>
      </c>
      <c r="B44" s="256">
        <v>761551.58237923135</v>
      </c>
      <c r="D44" s="247" t="s">
        <v>218</v>
      </c>
      <c r="E44" s="275">
        <f>+B54+B57+B62+B65</f>
        <v>3807604.6279663146</v>
      </c>
    </row>
    <row r="45" spans="1:5" ht="15.75" x14ac:dyDescent="0.25">
      <c r="A45" s="56" t="s">
        <v>56</v>
      </c>
      <c r="B45" s="257">
        <f>SUM(B43:B44)</f>
        <v>1662197.247191024</v>
      </c>
      <c r="D45" s="247" t="s">
        <v>219</v>
      </c>
      <c r="E45">
        <v>0</v>
      </c>
    </row>
    <row r="46" spans="1:5" ht="15.75" x14ac:dyDescent="0.25">
      <c r="A46" s="54" t="s">
        <v>57</v>
      </c>
      <c r="B46" s="252"/>
      <c r="D46" s="247" t="s">
        <v>220</v>
      </c>
      <c r="E46" s="275">
        <f>+B78</f>
        <v>5049012.0719469702</v>
      </c>
    </row>
    <row r="47" spans="1:5" ht="15.75" x14ac:dyDescent="0.25">
      <c r="A47" s="55" t="s">
        <v>54</v>
      </c>
      <c r="B47" s="255">
        <v>426719.67342406977</v>
      </c>
      <c r="D47" s="247" t="s">
        <v>221</v>
      </c>
      <c r="E47" s="275">
        <f>+B91</f>
        <v>34277214.687875785</v>
      </c>
    </row>
    <row r="48" spans="1:5" ht="15.75" x14ac:dyDescent="0.25">
      <c r="A48" s="55" t="s">
        <v>58</v>
      </c>
      <c r="B48" s="256">
        <v>1214064.2025554753</v>
      </c>
      <c r="D48" s="247" t="s">
        <v>222</v>
      </c>
      <c r="E48" s="275">
        <f>+B100</f>
        <v>4169539.8693666528</v>
      </c>
    </row>
    <row r="49" spans="1:5" ht="15.75" x14ac:dyDescent="0.25">
      <c r="A49" s="56" t="s">
        <v>59</v>
      </c>
      <c r="B49" s="258">
        <f>SUM(B47:B48)</f>
        <v>1640783.8759795451</v>
      </c>
      <c r="D49" s="247" t="s">
        <v>223</v>
      </c>
      <c r="E49" s="275">
        <f>+B108</f>
        <v>4113066.1982131628</v>
      </c>
    </row>
    <row r="50" spans="1:5" ht="15.75" x14ac:dyDescent="0.25">
      <c r="A50" s="267" t="s">
        <v>60</v>
      </c>
      <c r="B50" s="268">
        <f>+B49+B45</f>
        <v>3302981.1231705691</v>
      </c>
      <c r="D50" s="272" t="s">
        <v>224</v>
      </c>
      <c r="E50" s="275">
        <f>+B112</f>
        <v>530384.04873875726</v>
      </c>
    </row>
    <row r="51" spans="1:5" ht="16.5" thickBot="1" x14ac:dyDescent="0.3">
      <c r="A51" s="54" t="s">
        <v>61</v>
      </c>
      <c r="B51" s="252"/>
      <c r="D51" s="273" t="s">
        <v>225</v>
      </c>
    </row>
    <row r="52" spans="1:5" ht="16.5" thickTop="1" x14ac:dyDescent="0.25">
      <c r="A52" s="55" t="s">
        <v>62</v>
      </c>
      <c r="B52" s="259">
        <v>601645.58757671877</v>
      </c>
      <c r="E52" s="274">
        <f>SUM(E43:E51)</f>
        <v>55249802.627278209</v>
      </c>
    </row>
    <row r="53" spans="1:5" ht="15.75" x14ac:dyDescent="0.25">
      <c r="A53" s="55" t="s">
        <v>63</v>
      </c>
      <c r="B53" s="260">
        <v>2160188.4158315179</v>
      </c>
    </row>
    <row r="54" spans="1:5" ht="15.75" x14ac:dyDescent="0.25">
      <c r="A54" s="56" t="s">
        <v>64</v>
      </c>
      <c r="B54" s="261">
        <f>SUM(B52:B53)</f>
        <v>2761834.0034082364</v>
      </c>
    </row>
    <row r="55" spans="1:5" ht="15.75" x14ac:dyDescent="0.25">
      <c r="A55" s="55" t="s">
        <v>65</v>
      </c>
      <c r="B55" s="259">
        <v>5130.4790238880823</v>
      </c>
    </row>
    <row r="56" spans="1:5" ht="15.75" x14ac:dyDescent="0.25">
      <c r="A56" s="55" t="s">
        <v>66</v>
      </c>
      <c r="B56" s="260">
        <v>52008.424702090706</v>
      </c>
    </row>
    <row r="57" spans="1:5" ht="15.75" x14ac:dyDescent="0.25">
      <c r="A57" s="56" t="s">
        <v>67</v>
      </c>
      <c r="B57" s="262">
        <f>SUM(B55:B56)</f>
        <v>57138.903725978787</v>
      </c>
    </row>
    <row r="58" spans="1:5" ht="15.75" x14ac:dyDescent="0.25">
      <c r="A58" s="56" t="s">
        <v>68</v>
      </c>
      <c r="B58" s="261">
        <f>+B57+B54</f>
        <v>2818972.9071342153</v>
      </c>
    </row>
    <row r="59" spans="1:5" ht="15.75" x14ac:dyDescent="0.25">
      <c r="A59" s="54" t="s">
        <v>69</v>
      </c>
      <c r="B59" s="261"/>
    </row>
    <row r="60" spans="1:5" ht="15.75" x14ac:dyDescent="0.25">
      <c r="A60" s="55" t="s">
        <v>62</v>
      </c>
      <c r="B60" s="259">
        <v>332948.59109439689</v>
      </c>
    </row>
    <row r="61" spans="1:5" ht="15.75" x14ac:dyDescent="0.25">
      <c r="A61" s="55" t="s">
        <v>63</v>
      </c>
      <c r="B61" s="260">
        <v>655513.34932436375</v>
      </c>
    </row>
    <row r="62" spans="1:5" ht="15.75" x14ac:dyDescent="0.25">
      <c r="A62" s="56" t="s">
        <v>70</v>
      </c>
      <c r="B62" s="261">
        <f>SUM(B60:B61)</f>
        <v>988461.94041876064</v>
      </c>
    </row>
    <row r="63" spans="1:5" ht="15.75" x14ac:dyDescent="0.25">
      <c r="A63" s="55" t="s">
        <v>65</v>
      </c>
      <c r="B63" s="259">
        <v>169.78041333825533</v>
      </c>
    </row>
    <row r="64" spans="1:5" ht="15.75" x14ac:dyDescent="0.25">
      <c r="A64" s="55" t="s">
        <v>66</v>
      </c>
      <c r="B64" s="260">
        <v>0</v>
      </c>
    </row>
    <row r="65" spans="1:2" ht="15.75" x14ac:dyDescent="0.25">
      <c r="A65" s="56" t="s">
        <v>71</v>
      </c>
      <c r="B65" s="262">
        <f>SUM(B63:B64)</f>
        <v>169.78041333825533</v>
      </c>
    </row>
    <row r="66" spans="1:2" ht="15.75" x14ac:dyDescent="0.25">
      <c r="A66" s="56" t="s">
        <v>72</v>
      </c>
      <c r="B66" s="262">
        <f>+B65+B62</f>
        <v>988631.72083209886</v>
      </c>
    </row>
    <row r="67" spans="1:2" ht="15.75" x14ac:dyDescent="0.25">
      <c r="A67" s="267" t="s">
        <v>73</v>
      </c>
      <c r="B67" s="269">
        <f>+B66+B58+B50</f>
        <v>7110585.7511368832</v>
      </c>
    </row>
    <row r="68" spans="1:2" ht="15.75" x14ac:dyDescent="0.25">
      <c r="A68" s="54" t="s">
        <v>74</v>
      </c>
      <c r="B68" s="259"/>
    </row>
    <row r="69" spans="1:2" ht="15.75" x14ac:dyDescent="0.25">
      <c r="A69" s="55" t="s">
        <v>75</v>
      </c>
      <c r="B69" s="259">
        <v>23572.676508594705</v>
      </c>
    </row>
    <row r="70" spans="1:2" ht="15.75" x14ac:dyDescent="0.25">
      <c r="A70" s="55" t="s">
        <v>76</v>
      </c>
      <c r="B70" s="259">
        <v>3034787.1746027293</v>
      </c>
    </row>
    <row r="71" spans="1:2" ht="15.75" x14ac:dyDescent="0.25">
      <c r="A71" s="55" t="s">
        <v>77</v>
      </c>
      <c r="B71" s="260">
        <v>106425.45518437281</v>
      </c>
    </row>
    <row r="72" spans="1:2" ht="15.75" x14ac:dyDescent="0.25">
      <c r="A72" s="56" t="s">
        <v>78</v>
      </c>
      <c r="B72" s="261">
        <f>SUM(B69:B71)</f>
        <v>3164785.3062956966</v>
      </c>
    </row>
    <row r="73" spans="1:2" ht="15.75" x14ac:dyDescent="0.25">
      <c r="A73" s="54" t="s">
        <v>79</v>
      </c>
      <c r="B73" s="261"/>
    </row>
    <row r="74" spans="1:2" ht="15.75" x14ac:dyDescent="0.25">
      <c r="A74" s="55" t="s">
        <v>75</v>
      </c>
      <c r="B74" s="259">
        <v>23978.896127378219</v>
      </c>
    </row>
    <row r="75" spans="1:2" ht="15.75" x14ac:dyDescent="0.25">
      <c r="A75" s="55" t="s">
        <v>76</v>
      </c>
      <c r="B75" s="259">
        <v>1856537.2155746219</v>
      </c>
    </row>
    <row r="76" spans="1:2" ht="15.75" x14ac:dyDescent="0.25">
      <c r="A76" s="55" t="s">
        <v>77</v>
      </c>
      <c r="B76" s="260">
        <v>3710.6539492729594</v>
      </c>
    </row>
    <row r="77" spans="1:2" ht="15.75" x14ac:dyDescent="0.25">
      <c r="A77" s="56" t="s">
        <v>80</v>
      </c>
      <c r="B77" s="261">
        <f>SUM(B74:B76)</f>
        <v>1884226.7656512733</v>
      </c>
    </row>
    <row r="78" spans="1:2" ht="15.75" x14ac:dyDescent="0.25">
      <c r="A78" s="267" t="s">
        <v>81</v>
      </c>
      <c r="B78" s="269">
        <f>+B77+B72</f>
        <v>5049012.0719469702</v>
      </c>
    </row>
    <row r="79" spans="1:2" ht="15.75" x14ac:dyDescent="0.25">
      <c r="A79" s="56" t="s">
        <v>82</v>
      </c>
      <c r="B79" s="261">
        <f>+B72+B58+B45</f>
        <v>7645955.460620936</v>
      </c>
    </row>
    <row r="80" spans="1:2" ht="15.75" x14ac:dyDescent="0.25">
      <c r="A80" s="56" t="s">
        <v>83</v>
      </c>
      <c r="B80" s="261">
        <f>+B77+B66+B49</f>
        <v>4513642.3624629173</v>
      </c>
    </row>
    <row r="81" spans="1:2" ht="15.75" x14ac:dyDescent="0.25">
      <c r="A81" s="58" t="s">
        <v>84</v>
      </c>
      <c r="B81" s="261">
        <f>+B80+B79</f>
        <v>12159597.823083853</v>
      </c>
    </row>
    <row r="82" spans="1:2" ht="15.75" x14ac:dyDescent="0.25">
      <c r="A82" s="53" t="s">
        <v>85</v>
      </c>
      <c r="B82" s="259"/>
    </row>
    <row r="83" spans="1:2" ht="15.75" x14ac:dyDescent="0.25">
      <c r="A83" s="54" t="s">
        <v>86</v>
      </c>
      <c r="B83" s="259"/>
    </row>
    <row r="84" spans="1:2" ht="15.75" x14ac:dyDescent="0.25">
      <c r="A84" s="55" t="s">
        <v>87</v>
      </c>
      <c r="B84" s="259">
        <v>269467.69460281415</v>
      </c>
    </row>
    <row r="85" spans="1:2" ht="15.75" x14ac:dyDescent="0.25">
      <c r="A85" s="55" t="s">
        <v>88</v>
      </c>
      <c r="B85" s="260">
        <v>12822891.810519448</v>
      </c>
    </row>
    <row r="86" spans="1:2" ht="15.75" x14ac:dyDescent="0.25">
      <c r="A86" s="56" t="s">
        <v>89</v>
      </c>
      <c r="B86" s="261">
        <f>SUM(B84:B85)</f>
        <v>13092359.505122261</v>
      </c>
    </row>
    <row r="87" spans="1:2" ht="15.75" x14ac:dyDescent="0.25">
      <c r="A87" s="54" t="s">
        <v>90</v>
      </c>
      <c r="B87" s="259"/>
    </row>
    <row r="88" spans="1:2" ht="15.75" x14ac:dyDescent="0.25">
      <c r="A88" s="55" t="s">
        <v>87</v>
      </c>
      <c r="B88" s="259">
        <v>1493915.9271672487</v>
      </c>
    </row>
    <row r="89" spans="1:2" ht="15.75" x14ac:dyDescent="0.25">
      <c r="A89" s="55" t="s">
        <v>88</v>
      </c>
      <c r="B89" s="260">
        <v>19690939.255586274</v>
      </c>
    </row>
    <row r="90" spans="1:2" ht="15.75" x14ac:dyDescent="0.25">
      <c r="A90" s="56" t="s">
        <v>91</v>
      </c>
      <c r="B90" s="262">
        <f>SUM(B88:B89)</f>
        <v>21184855.182753522</v>
      </c>
    </row>
    <row r="91" spans="1:2" ht="15.75" x14ac:dyDescent="0.25">
      <c r="A91" s="267" t="s">
        <v>25</v>
      </c>
      <c r="B91" s="269">
        <f>+B90+B86</f>
        <v>34277214.687875785</v>
      </c>
    </row>
    <row r="92" spans="1:2" ht="15.75" x14ac:dyDescent="0.25">
      <c r="A92" s="54" t="s">
        <v>92</v>
      </c>
      <c r="B92" s="259"/>
    </row>
    <row r="93" spans="1:2" ht="15.75" x14ac:dyDescent="0.25">
      <c r="A93" s="55" t="s">
        <v>87</v>
      </c>
      <c r="B93" s="259">
        <v>81484.810736891581</v>
      </c>
    </row>
    <row r="94" spans="1:2" ht="15.75" x14ac:dyDescent="0.25">
      <c r="A94" s="55" t="s">
        <v>88</v>
      </c>
      <c r="B94" s="260">
        <v>1460649.7179584389</v>
      </c>
    </row>
    <row r="95" spans="1:2" ht="15.75" x14ac:dyDescent="0.25">
      <c r="A95" s="56" t="s">
        <v>93</v>
      </c>
      <c r="B95" s="261">
        <f>SUM(B93:B94)</f>
        <v>1542134.5286953305</v>
      </c>
    </row>
    <row r="96" spans="1:2" ht="15.75" x14ac:dyDescent="0.25">
      <c r="A96" s="54" t="s">
        <v>94</v>
      </c>
      <c r="B96" s="259"/>
    </row>
    <row r="97" spans="1:2" ht="15.75" x14ac:dyDescent="0.25">
      <c r="A97" s="55" t="s">
        <v>87</v>
      </c>
      <c r="B97" s="259">
        <v>168029.17366650337</v>
      </c>
    </row>
    <row r="98" spans="1:2" ht="15.75" x14ac:dyDescent="0.25">
      <c r="A98" s="55" t="s">
        <v>88</v>
      </c>
      <c r="B98" s="260">
        <v>2459376.167004819</v>
      </c>
    </row>
    <row r="99" spans="1:2" ht="15.75" x14ac:dyDescent="0.25">
      <c r="A99" s="56" t="s">
        <v>95</v>
      </c>
      <c r="B99" s="262">
        <f>SUM(B97:B98)</f>
        <v>2627405.3406713223</v>
      </c>
    </row>
    <row r="100" spans="1:2" ht="15.75" x14ac:dyDescent="0.25">
      <c r="A100" s="267" t="s">
        <v>96</v>
      </c>
      <c r="B100" s="269">
        <f>+B99+B95</f>
        <v>4169539.8693666528</v>
      </c>
    </row>
    <row r="101" spans="1:2" ht="15.75" x14ac:dyDescent="0.25">
      <c r="A101" s="53" t="s">
        <v>97</v>
      </c>
      <c r="B101" s="259"/>
    </row>
    <row r="102" spans="1:2" ht="15.75" x14ac:dyDescent="0.25">
      <c r="A102" s="55" t="s">
        <v>98</v>
      </c>
      <c r="B102" s="259">
        <v>0</v>
      </c>
    </row>
    <row r="103" spans="1:2" ht="15.75" x14ac:dyDescent="0.25">
      <c r="A103" s="55" t="s">
        <v>99</v>
      </c>
      <c r="B103" s="260">
        <v>115904.28063991565</v>
      </c>
    </row>
    <row r="104" spans="1:2" ht="15.75" x14ac:dyDescent="0.25">
      <c r="A104" s="54" t="s">
        <v>100</v>
      </c>
      <c r="B104" s="261">
        <f>SUM(B102:B103)</f>
        <v>115904.28063991565</v>
      </c>
    </row>
    <row r="105" spans="1:2" ht="15.75" x14ac:dyDescent="0.25">
      <c r="A105" s="55" t="s">
        <v>101</v>
      </c>
      <c r="B105" s="259">
        <v>2000965.4477561347</v>
      </c>
    </row>
    <row r="106" spans="1:2" ht="15.75" x14ac:dyDescent="0.25">
      <c r="A106" s="55" t="s">
        <v>102</v>
      </c>
      <c r="B106" s="260">
        <v>1996196.4698171124</v>
      </c>
    </row>
    <row r="107" spans="1:2" ht="15.75" x14ac:dyDescent="0.25">
      <c r="A107" s="54" t="s">
        <v>103</v>
      </c>
      <c r="B107" s="263">
        <f>SUM(B105:B106)</f>
        <v>3997161.9175732471</v>
      </c>
    </row>
    <row r="108" spans="1:2" ht="15.75" x14ac:dyDescent="0.25">
      <c r="A108" s="270" t="s">
        <v>104</v>
      </c>
      <c r="B108" s="269">
        <f>+B107+B104</f>
        <v>4113066.1982131628</v>
      </c>
    </row>
    <row r="109" spans="1:2" ht="15.75" x14ac:dyDescent="0.25">
      <c r="A109" s="56" t="s">
        <v>105</v>
      </c>
      <c r="B109" s="261">
        <f>+B104+B95+B86+B79</f>
        <v>22396353.775078446</v>
      </c>
    </row>
    <row r="110" spans="1:2" ht="15.75" x14ac:dyDescent="0.25">
      <c r="A110" s="56" t="s">
        <v>106</v>
      </c>
      <c r="B110" s="261">
        <f>+B107+B99+B90+B80</f>
        <v>32323064.803461008</v>
      </c>
    </row>
    <row r="111" spans="1:2" ht="15.75" x14ac:dyDescent="0.25">
      <c r="A111" s="58" t="s">
        <v>107</v>
      </c>
      <c r="B111" s="261">
        <f>+B110+B109</f>
        <v>54719418.578539453</v>
      </c>
    </row>
    <row r="112" spans="1:2" ht="15.75" x14ac:dyDescent="0.25">
      <c r="A112" s="271" t="s">
        <v>108</v>
      </c>
      <c r="B112" s="269">
        <v>530384.04873875726</v>
      </c>
    </row>
    <row r="113" spans="1:5" ht="15.75" x14ac:dyDescent="0.25">
      <c r="A113" s="59" t="s">
        <v>109</v>
      </c>
      <c r="B113" s="260"/>
    </row>
    <row r="114" spans="1:5" ht="15.75" x14ac:dyDescent="0.25">
      <c r="A114" s="58" t="s">
        <v>110</v>
      </c>
      <c r="B114" s="261">
        <v>55249802.627278209</v>
      </c>
    </row>
    <row r="115" spans="1:5" ht="15.75" x14ac:dyDescent="0.25">
      <c r="A115" s="19"/>
      <c r="B115" s="259"/>
    </row>
    <row r="116" spans="1:5" ht="15.75" x14ac:dyDescent="0.25">
      <c r="A116" s="60" t="s">
        <v>111</v>
      </c>
      <c r="B116" s="261"/>
    </row>
    <row r="117" spans="1:5" ht="15.75" x14ac:dyDescent="0.25">
      <c r="A117" s="61" t="s">
        <v>112</v>
      </c>
      <c r="B117" s="259">
        <v>630926.11540777457</v>
      </c>
    </row>
    <row r="118" spans="1:5" ht="15.75" x14ac:dyDescent="0.25">
      <c r="A118" s="62" t="s">
        <v>113</v>
      </c>
      <c r="B118" s="261"/>
    </row>
    <row r="119" spans="1:5" ht="15.75" x14ac:dyDescent="0.25">
      <c r="A119" s="63" t="s">
        <v>114</v>
      </c>
      <c r="B119" s="259">
        <v>4474780.8277328452</v>
      </c>
    </row>
    <row r="120" spans="1:5" ht="15.75" x14ac:dyDescent="0.25">
      <c r="A120" s="63" t="s">
        <v>115</v>
      </c>
      <c r="B120" s="259">
        <v>1450601.6466284448</v>
      </c>
    </row>
    <row r="121" spans="1:5" ht="15.75" x14ac:dyDescent="0.25">
      <c r="A121" s="63" t="s">
        <v>116</v>
      </c>
      <c r="B121" s="260">
        <v>93315.607230935624</v>
      </c>
    </row>
    <row r="122" spans="1:5" ht="15.75" x14ac:dyDescent="0.25">
      <c r="A122" s="62" t="s">
        <v>117</v>
      </c>
      <c r="B122" s="263">
        <v>6018698.0815922255</v>
      </c>
    </row>
    <row r="123" spans="1:5" ht="15.75" x14ac:dyDescent="0.25">
      <c r="A123" s="56" t="s">
        <v>118</v>
      </c>
      <c r="B123" s="261">
        <v>6649624.1969999997</v>
      </c>
    </row>
    <row r="124" spans="1:5" x14ac:dyDescent="0.25">
      <c r="A124" s="19"/>
      <c r="B124" s="19"/>
    </row>
    <row r="125" spans="1:5" ht="15.75" x14ac:dyDescent="0.25">
      <c r="A125" s="61" t="s">
        <v>119</v>
      </c>
      <c r="B125" s="259">
        <v>181652.96768389785</v>
      </c>
      <c r="D125" s="44" t="s">
        <v>247</v>
      </c>
    </row>
    <row r="126" spans="1:5" ht="15.75" x14ac:dyDescent="0.25">
      <c r="A126" s="65" t="s">
        <v>120</v>
      </c>
      <c r="B126" s="259">
        <v>0</v>
      </c>
      <c r="D126" s="44" t="s">
        <v>248</v>
      </c>
      <c r="E126" s="275">
        <f>+B125</f>
        <v>181652.96768389785</v>
      </c>
    </row>
    <row r="127" spans="1:5" ht="15.75" x14ac:dyDescent="0.25">
      <c r="A127" s="65" t="s">
        <v>121</v>
      </c>
      <c r="B127" s="260">
        <v>0</v>
      </c>
      <c r="D127" s="44" t="s">
        <v>249</v>
      </c>
      <c r="E127" s="275">
        <f>+B135</f>
        <v>1125821.6392237118</v>
      </c>
    </row>
    <row r="128" spans="1:5" ht="15.75" x14ac:dyDescent="0.25">
      <c r="A128" s="54" t="s">
        <v>122</v>
      </c>
      <c r="B128" s="261">
        <f>SUM(B125:B127)</f>
        <v>181652.96768389785</v>
      </c>
      <c r="D128" s="44" t="s">
        <v>250</v>
      </c>
      <c r="E128" s="275">
        <f>+B140</f>
        <v>1074852.4876382891</v>
      </c>
    </row>
    <row r="129" spans="1:5" ht="15.75" x14ac:dyDescent="0.25">
      <c r="A129" s="54" t="s">
        <v>123</v>
      </c>
      <c r="B129" s="259"/>
      <c r="D129" s="44" t="s">
        <v>138</v>
      </c>
      <c r="E129" s="275">
        <f>+B150</f>
        <v>118539.63740323023</v>
      </c>
    </row>
    <row r="130" spans="1:5" ht="15.75" x14ac:dyDescent="0.25">
      <c r="A130" s="54" t="s">
        <v>124</v>
      </c>
      <c r="B130" s="259"/>
      <c r="D130" s="53" t="s">
        <v>251</v>
      </c>
      <c r="E130" s="275">
        <f>SUM(E126:E129)</f>
        <v>2500866.7319491291</v>
      </c>
    </row>
    <row r="131" spans="1:5" ht="15.75" x14ac:dyDescent="0.25">
      <c r="A131" s="63" t="s">
        <v>125</v>
      </c>
      <c r="B131" s="259">
        <v>39521.205732979455</v>
      </c>
      <c r="D131" s="39"/>
    </row>
    <row r="132" spans="1:5" ht="15.75" x14ac:dyDescent="0.25">
      <c r="A132" s="63" t="s">
        <v>126</v>
      </c>
      <c r="B132" s="259">
        <v>600977.82030059886</v>
      </c>
      <c r="D132" s="44" t="s">
        <v>120</v>
      </c>
      <c r="E132">
        <v>0</v>
      </c>
    </row>
    <row r="133" spans="1:5" ht="15.75" x14ac:dyDescent="0.25">
      <c r="A133" s="63" t="s">
        <v>127</v>
      </c>
      <c r="B133" s="260">
        <v>485322.61319013359</v>
      </c>
      <c r="D133" s="44" t="s">
        <v>121</v>
      </c>
      <c r="E133">
        <v>0</v>
      </c>
    </row>
    <row r="134" spans="1:5" ht="15.75" x14ac:dyDescent="0.25">
      <c r="A134" s="66" t="s">
        <v>128</v>
      </c>
      <c r="B134" s="262">
        <f>+B132+B133</f>
        <v>1086300.4334907325</v>
      </c>
      <c r="D134" s="53" t="s">
        <v>252</v>
      </c>
    </row>
    <row r="135" spans="1:5" ht="15.75" x14ac:dyDescent="0.25">
      <c r="A135" s="56" t="s">
        <v>129</v>
      </c>
      <c r="B135" s="261">
        <f>+B134+B131</f>
        <v>1125821.6392237118</v>
      </c>
    </row>
    <row r="136" spans="1:5" ht="15.75" x14ac:dyDescent="0.25">
      <c r="A136" s="54" t="s">
        <v>130</v>
      </c>
      <c r="B136" s="259"/>
    </row>
    <row r="137" spans="1:5" ht="15.75" x14ac:dyDescent="0.25">
      <c r="A137" s="63" t="s">
        <v>125</v>
      </c>
      <c r="B137" s="259">
        <v>61212.647870912668</v>
      </c>
    </row>
    <row r="138" spans="1:5" ht="15.75" x14ac:dyDescent="0.25">
      <c r="A138" s="63" t="s">
        <v>126</v>
      </c>
      <c r="B138" s="259">
        <v>939378.97753326991</v>
      </c>
    </row>
    <row r="139" spans="1:5" ht="15.75" x14ac:dyDescent="0.25">
      <c r="A139" s="63" t="s">
        <v>127</v>
      </c>
      <c r="B139" s="260">
        <v>74260.862234106637</v>
      </c>
    </row>
    <row r="140" spans="1:5" ht="15.75" x14ac:dyDescent="0.25">
      <c r="A140" s="56" t="s">
        <v>131</v>
      </c>
      <c r="B140" s="261">
        <f>SUM(B137:B139)</f>
        <v>1074852.4876382891</v>
      </c>
    </row>
    <row r="141" spans="1:5" ht="15.75" x14ac:dyDescent="0.25">
      <c r="A141" s="58" t="s">
        <v>132</v>
      </c>
      <c r="B141" s="261">
        <f>+B140+B135</f>
        <v>2200674.1268620007</v>
      </c>
    </row>
    <row r="142" spans="1:5" ht="15.75" x14ac:dyDescent="0.25">
      <c r="A142" s="54" t="s">
        <v>133</v>
      </c>
      <c r="B142" s="259"/>
    </row>
    <row r="143" spans="1:5" ht="15.75" x14ac:dyDescent="0.25">
      <c r="A143" s="55" t="s">
        <v>134</v>
      </c>
      <c r="B143" s="259">
        <v>55158.814918304946</v>
      </c>
    </row>
    <row r="144" spans="1:5" ht="15.75" x14ac:dyDescent="0.25">
      <c r="A144" s="63" t="s">
        <v>126</v>
      </c>
      <c r="B144" s="260">
        <v>58300.744073441048</v>
      </c>
    </row>
    <row r="145" spans="1:2" ht="15.75" x14ac:dyDescent="0.25">
      <c r="A145" s="58" t="s">
        <v>135</v>
      </c>
      <c r="B145" s="261">
        <f>SUM(B143:B144)</f>
        <v>113459.55899174599</v>
      </c>
    </row>
    <row r="146" spans="1:2" ht="15.75" x14ac:dyDescent="0.25">
      <c r="A146" s="54" t="s">
        <v>136</v>
      </c>
      <c r="B146" s="259"/>
    </row>
    <row r="147" spans="1:2" ht="15.75" x14ac:dyDescent="0.25">
      <c r="A147" s="55" t="s">
        <v>134</v>
      </c>
      <c r="B147" s="259">
        <v>3198.6796616496727</v>
      </c>
    </row>
    <row r="148" spans="1:2" ht="15.75" x14ac:dyDescent="0.25">
      <c r="A148" s="63" t="s">
        <v>126</v>
      </c>
      <c r="B148" s="260">
        <v>1881.3987498345662</v>
      </c>
    </row>
    <row r="149" spans="1:2" ht="15.75" x14ac:dyDescent="0.25">
      <c r="A149" s="58" t="s">
        <v>137</v>
      </c>
      <c r="B149" s="262">
        <f>SUM(B147:B148)</f>
        <v>5080.078411484239</v>
      </c>
    </row>
    <row r="150" spans="1:2" ht="15.75" x14ac:dyDescent="0.25">
      <c r="A150" s="58" t="s">
        <v>138</v>
      </c>
      <c r="B150" s="262">
        <f>+B149+B145</f>
        <v>118539.63740323023</v>
      </c>
    </row>
    <row r="151" spans="1:2" ht="15.75" x14ac:dyDescent="0.25">
      <c r="A151" s="67" t="s">
        <v>139</v>
      </c>
      <c r="B151" s="261">
        <f>+B150+B141+B128</f>
        <v>2500866.7319491287</v>
      </c>
    </row>
    <row r="152" spans="1:2" ht="15.75" x14ac:dyDescent="0.25">
      <c r="A152" s="19"/>
      <c r="B152" s="259"/>
    </row>
    <row r="153" spans="1:2" ht="15.75" x14ac:dyDescent="0.25">
      <c r="A153" s="68" t="s">
        <v>140</v>
      </c>
      <c r="B153" s="261">
        <f>+B151+B123+B114+B38</f>
        <v>196120709.78760323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B3:S52"/>
  <sheetViews>
    <sheetView topLeftCell="J1" zoomScale="85" zoomScaleNormal="85" workbookViewId="0">
      <selection activeCell="S11" sqref="S11:S19"/>
    </sheetView>
  </sheetViews>
  <sheetFormatPr defaultRowHeight="15" x14ac:dyDescent="0.2"/>
  <cols>
    <col min="1" max="1" width="9.140625" style="1"/>
    <col min="2" max="2" width="31.5703125" style="1" bestFit="1" customWidth="1"/>
    <col min="3" max="3" width="15.28515625" style="1" bestFit="1" customWidth="1"/>
    <col min="4" max="4" width="16" style="1" bestFit="1" customWidth="1"/>
    <col min="5" max="7" width="16.140625" style="69" customWidth="1"/>
    <col min="8" max="8" width="16.28515625" style="1" customWidth="1"/>
    <col min="9" max="9" width="18.5703125" style="1" bestFit="1" customWidth="1"/>
    <col min="10" max="10" width="15" style="1" bestFit="1" customWidth="1"/>
    <col min="11" max="11" width="16.85546875" style="1" customWidth="1"/>
    <col min="12" max="12" width="16" style="1" bestFit="1" customWidth="1"/>
    <col min="13" max="13" width="22.28515625" style="1" bestFit="1" customWidth="1"/>
    <col min="14" max="14" width="29.140625" style="1" bestFit="1" customWidth="1"/>
    <col min="15" max="15" width="15.140625" style="1" bestFit="1" customWidth="1"/>
    <col min="16" max="16" width="20" style="1" bestFit="1" customWidth="1"/>
    <col min="17" max="17" width="14" style="1" bestFit="1" customWidth="1"/>
    <col min="18" max="18" width="13.7109375" style="1" bestFit="1" customWidth="1"/>
    <col min="19" max="19" width="25.85546875" style="1" bestFit="1" customWidth="1"/>
    <col min="20" max="20" width="17" style="1" bestFit="1" customWidth="1"/>
    <col min="21" max="21" width="12.42578125" style="1" bestFit="1" customWidth="1"/>
    <col min="22" max="22" width="16" style="1" bestFit="1" customWidth="1"/>
    <col min="23" max="23" width="10.42578125" style="1" bestFit="1" customWidth="1"/>
    <col min="24" max="24" width="27.5703125" style="1" bestFit="1" customWidth="1"/>
    <col min="25" max="254" width="9.140625" style="1"/>
    <col min="255" max="255" width="31.5703125" style="1" bestFit="1" customWidth="1"/>
    <col min="256" max="256" width="15.28515625" style="1" bestFit="1" customWidth="1"/>
    <col min="257" max="259" width="15.28515625" style="1" customWidth="1"/>
    <col min="260" max="260" width="16" style="1" bestFit="1" customWidth="1"/>
    <col min="261" max="263" width="16.140625" style="1" customWidth="1"/>
    <col min="264" max="264" width="16.28515625" style="1" customWidth="1"/>
    <col min="265" max="265" width="14.7109375" style="1" bestFit="1" customWidth="1"/>
    <col min="266" max="266" width="15" style="1" bestFit="1" customWidth="1"/>
    <col min="267" max="267" width="16.85546875" style="1" customWidth="1"/>
    <col min="268" max="268" width="16" style="1" bestFit="1" customWidth="1"/>
    <col min="269" max="269" width="16.28515625" style="1" customWidth="1"/>
    <col min="270" max="270" width="15.28515625" style="1" bestFit="1" customWidth="1"/>
    <col min="271" max="271" width="10.28515625" style="1" bestFit="1" customWidth="1"/>
    <col min="272" max="272" width="18.5703125" style="1" bestFit="1" customWidth="1"/>
    <col min="273" max="273" width="14" style="1" bestFit="1" customWidth="1"/>
    <col min="274" max="274" width="11.85546875" style="1" bestFit="1" customWidth="1"/>
    <col min="275" max="275" width="25.85546875" style="1" bestFit="1" customWidth="1"/>
    <col min="276" max="276" width="17" style="1" bestFit="1" customWidth="1"/>
    <col min="277" max="277" width="12.42578125" style="1" bestFit="1" customWidth="1"/>
    <col min="278" max="278" width="16" style="1" bestFit="1" customWidth="1"/>
    <col min="279" max="279" width="10.42578125" style="1" bestFit="1" customWidth="1"/>
    <col min="280" max="280" width="27.5703125" style="1" bestFit="1" customWidth="1"/>
    <col min="281" max="510" width="9.140625" style="1"/>
    <col min="511" max="511" width="31.5703125" style="1" bestFit="1" customWidth="1"/>
    <col min="512" max="512" width="15.28515625" style="1" bestFit="1" customWidth="1"/>
    <col min="513" max="515" width="15.28515625" style="1" customWidth="1"/>
    <col min="516" max="516" width="16" style="1" bestFit="1" customWidth="1"/>
    <col min="517" max="519" width="16.140625" style="1" customWidth="1"/>
    <col min="520" max="520" width="16.28515625" style="1" customWidth="1"/>
    <col min="521" max="521" width="14.7109375" style="1" bestFit="1" customWidth="1"/>
    <col min="522" max="522" width="15" style="1" bestFit="1" customWidth="1"/>
    <col min="523" max="523" width="16.85546875" style="1" customWidth="1"/>
    <col min="524" max="524" width="16" style="1" bestFit="1" customWidth="1"/>
    <col min="525" max="525" width="16.28515625" style="1" customWidth="1"/>
    <col min="526" max="526" width="15.28515625" style="1" bestFit="1" customWidth="1"/>
    <col min="527" max="527" width="10.28515625" style="1" bestFit="1" customWidth="1"/>
    <col min="528" max="528" width="18.5703125" style="1" bestFit="1" customWidth="1"/>
    <col min="529" max="529" width="14" style="1" bestFit="1" customWidth="1"/>
    <col min="530" max="530" width="11.85546875" style="1" bestFit="1" customWidth="1"/>
    <col min="531" max="531" width="25.85546875" style="1" bestFit="1" customWidth="1"/>
    <col min="532" max="532" width="17" style="1" bestFit="1" customWidth="1"/>
    <col min="533" max="533" width="12.42578125" style="1" bestFit="1" customWidth="1"/>
    <col min="534" max="534" width="16" style="1" bestFit="1" customWidth="1"/>
    <col min="535" max="535" width="10.42578125" style="1" bestFit="1" customWidth="1"/>
    <col min="536" max="536" width="27.5703125" style="1" bestFit="1" customWidth="1"/>
    <col min="537" max="766" width="9.140625" style="1"/>
    <col min="767" max="767" width="31.5703125" style="1" bestFit="1" customWidth="1"/>
    <col min="768" max="768" width="15.28515625" style="1" bestFit="1" customWidth="1"/>
    <col min="769" max="771" width="15.28515625" style="1" customWidth="1"/>
    <col min="772" max="772" width="16" style="1" bestFit="1" customWidth="1"/>
    <col min="773" max="775" width="16.140625" style="1" customWidth="1"/>
    <col min="776" max="776" width="16.28515625" style="1" customWidth="1"/>
    <col min="777" max="777" width="14.7109375" style="1" bestFit="1" customWidth="1"/>
    <col min="778" max="778" width="15" style="1" bestFit="1" customWidth="1"/>
    <col min="779" max="779" width="16.85546875" style="1" customWidth="1"/>
    <col min="780" max="780" width="16" style="1" bestFit="1" customWidth="1"/>
    <col min="781" max="781" width="16.28515625" style="1" customWidth="1"/>
    <col min="782" max="782" width="15.28515625" style="1" bestFit="1" customWidth="1"/>
    <col min="783" max="783" width="10.28515625" style="1" bestFit="1" customWidth="1"/>
    <col min="784" max="784" width="18.5703125" style="1" bestFit="1" customWidth="1"/>
    <col min="785" max="785" width="14" style="1" bestFit="1" customWidth="1"/>
    <col min="786" max="786" width="11.85546875" style="1" bestFit="1" customWidth="1"/>
    <col min="787" max="787" width="25.85546875" style="1" bestFit="1" customWidth="1"/>
    <col min="788" max="788" width="17" style="1" bestFit="1" customWidth="1"/>
    <col min="789" max="789" width="12.42578125" style="1" bestFit="1" customWidth="1"/>
    <col min="790" max="790" width="16" style="1" bestFit="1" customWidth="1"/>
    <col min="791" max="791" width="10.42578125" style="1" bestFit="1" customWidth="1"/>
    <col min="792" max="792" width="27.5703125" style="1" bestFit="1" customWidth="1"/>
    <col min="793" max="1022" width="9.140625" style="1"/>
    <col min="1023" max="1023" width="31.5703125" style="1" bestFit="1" customWidth="1"/>
    <col min="1024" max="1024" width="15.28515625" style="1" bestFit="1" customWidth="1"/>
    <col min="1025" max="1027" width="15.28515625" style="1" customWidth="1"/>
    <col min="1028" max="1028" width="16" style="1" bestFit="1" customWidth="1"/>
    <col min="1029" max="1031" width="16.140625" style="1" customWidth="1"/>
    <col min="1032" max="1032" width="16.28515625" style="1" customWidth="1"/>
    <col min="1033" max="1033" width="14.7109375" style="1" bestFit="1" customWidth="1"/>
    <col min="1034" max="1034" width="15" style="1" bestFit="1" customWidth="1"/>
    <col min="1035" max="1035" width="16.85546875" style="1" customWidth="1"/>
    <col min="1036" max="1036" width="16" style="1" bestFit="1" customWidth="1"/>
    <col min="1037" max="1037" width="16.28515625" style="1" customWidth="1"/>
    <col min="1038" max="1038" width="15.28515625" style="1" bestFit="1" customWidth="1"/>
    <col min="1039" max="1039" width="10.28515625" style="1" bestFit="1" customWidth="1"/>
    <col min="1040" max="1040" width="18.5703125" style="1" bestFit="1" customWidth="1"/>
    <col min="1041" max="1041" width="14" style="1" bestFit="1" customWidth="1"/>
    <col min="1042" max="1042" width="11.85546875" style="1" bestFit="1" customWidth="1"/>
    <col min="1043" max="1043" width="25.85546875" style="1" bestFit="1" customWidth="1"/>
    <col min="1044" max="1044" width="17" style="1" bestFit="1" customWidth="1"/>
    <col min="1045" max="1045" width="12.42578125" style="1" bestFit="1" customWidth="1"/>
    <col min="1046" max="1046" width="16" style="1" bestFit="1" customWidth="1"/>
    <col min="1047" max="1047" width="10.42578125" style="1" bestFit="1" customWidth="1"/>
    <col min="1048" max="1048" width="27.5703125" style="1" bestFit="1" customWidth="1"/>
    <col min="1049" max="1278" width="9.140625" style="1"/>
    <col min="1279" max="1279" width="31.5703125" style="1" bestFit="1" customWidth="1"/>
    <col min="1280" max="1280" width="15.28515625" style="1" bestFit="1" customWidth="1"/>
    <col min="1281" max="1283" width="15.28515625" style="1" customWidth="1"/>
    <col min="1284" max="1284" width="16" style="1" bestFit="1" customWidth="1"/>
    <col min="1285" max="1287" width="16.140625" style="1" customWidth="1"/>
    <col min="1288" max="1288" width="16.28515625" style="1" customWidth="1"/>
    <col min="1289" max="1289" width="14.7109375" style="1" bestFit="1" customWidth="1"/>
    <col min="1290" max="1290" width="15" style="1" bestFit="1" customWidth="1"/>
    <col min="1291" max="1291" width="16.85546875" style="1" customWidth="1"/>
    <col min="1292" max="1292" width="16" style="1" bestFit="1" customWidth="1"/>
    <col min="1293" max="1293" width="16.28515625" style="1" customWidth="1"/>
    <col min="1294" max="1294" width="15.28515625" style="1" bestFit="1" customWidth="1"/>
    <col min="1295" max="1295" width="10.28515625" style="1" bestFit="1" customWidth="1"/>
    <col min="1296" max="1296" width="18.5703125" style="1" bestFit="1" customWidth="1"/>
    <col min="1297" max="1297" width="14" style="1" bestFit="1" customWidth="1"/>
    <col min="1298" max="1298" width="11.85546875" style="1" bestFit="1" customWidth="1"/>
    <col min="1299" max="1299" width="25.85546875" style="1" bestFit="1" customWidth="1"/>
    <col min="1300" max="1300" width="17" style="1" bestFit="1" customWidth="1"/>
    <col min="1301" max="1301" width="12.42578125" style="1" bestFit="1" customWidth="1"/>
    <col min="1302" max="1302" width="16" style="1" bestFit="1" customWidth="1"/>
    <col min="1303" max="1303" width="10.42578125" style="1" bestFit="1" customWidth="1"/>
    <col min="1304" max="1304" width="27.5703125" style="1" bestFit="1" customWidth="1"/>
    <col min="1305" max="1534" width="9.140625" style="1"/>
    <col min="1535" max="1535" width="31.5703125" style="1" bestFit="1" customWidth="1"/>
    <col min="1536" max="1536" width="15.28515625" style="1" bestFit="1" customWidth="1"/>
    <col min="1537" max="1539" width="15.28515625" style="1" customWidth="1"/>
    <col min="1540" max="1540" width="16" style="1" bestFit="1" customWidth="1"/>
    <col min="1541" max="1543" width="16.140625" style="1" customWidth="1"/>
    <col min="1544" max="1544" width="16.28515625" style="1" customWidth="1"/>
    <col min="1545" max="1545" width="14.7109375" style="1" bestFit="1" customWidth="1"/>
    <col min="1546" max="1546" width="15" style="1" bestFit="1" customWidth="1"/>
    <col min="1547" max="1547" width="16.85546875" style="1" customWidth="1"/>
    <col min="1548" max="1548" width="16" style="1" bestFit="1" customWidth="1"/>
    <col min="1549" max="1549" width="16.28515625" style="1" customWidth="1"/>
    <col min="1550" max="1550" width="15.28515625" style="1" bestFit="1" customWidth="1"/>
    <col min="1551" max="1551" width="10.28515625" style="1" bestFit="1" customWidth="1"/>
    <col min="1552" max="1552" width="18.5703125" style="1" bestFit="1" customWidth="1"/>
    <col min="1553" max="1553" width="14" style="1" bestFit="1" customWidth="1"/>
    <col min="1554" max="1554" width="11.85546875" style="1" bestFit="1" customWidth="1"/>
    <col min="1555" max="1555" width="25.85546875" style="1" bestFit="1" customWidth="1"/>
    <col min="1556" max="1556" width="17" style="1" bestFit="1" customWidth="1"/>
    <col min="1557" max="1557" width="12.42578125" style="1" bestFit="1" customWidth="1"/>
    <col min="1558" max="1558" width="16" style="1" bestFit="1" customWidth="1"/>
    <col min="1559" max="1559" width="10.42578125" style="1" bestFit="1" customWidth="1"/>
    <col min="1560" max="1560" width="27.5703125" style="1" bestFit="1" customWidth="1"/>
    <col min="1561" max="1790" width="9.140625" style="1"/>
    <col min="1791" max="1791" width="31.5703125" style="1" bestFit="1" customWidth="1"/>
    <col min="1792" max="1792" width="15.28515625" style="1" bestFit="1" customWidth="1"/>
    <col min="1793" max="1795" width="15.28515625" style="1" customWidth="1"/>
    <col min="1796" max="1796" width="16" style="1" bestFit="1" customWidth="1"/>
    <col min="1797" max="1799" width="16.140625" style="1" customWidth="1"/>
    <col min="1800" max="1800" width="16.28515625" style="1" customWidth="1"/>
    <col min="1801" max="1801" width="14.7109375" style="1" bestFit="1" customWidth="1"/>
    <col min="1802" max="1802" width="15" style="1" bestFit="1" customWidth="1"/>
    <col min="1803" max="1803" width="16.85546875" style="1" customWidth="1"/>
    <col min="1804" max="1804" width="16" style="1" bestFit="1" customWidth="1"/>
    <col min="1805" max="1805" width="16.28515625" style="1" customWidth="1"/>
    <col min="1806" max="1806" width="15.28515625" style="1" bestFit="1" customWidth="1"/>
    <col min="1807" max="1807" width="10.28515625" style="1" bestFit="1" customWidth="1"/>
    <col min="1808" max="1808" width="18.5703125" style="1" bestFit="1" customWidth="1"/>
    <col min="1809" max="1809" width="14" style="1" bestFit="1" customWidth="1"/>
    <col min="1810" max="1810" width="11.85546875" style="1" bestFit="1" customWidth="1"/>
    <col min="1811" max="1811" width="25.85546875" style="1" bestFit="1" customWidth="1"/>
    <col min="1812" max="1812" width="17" style="1" bestFit="1" customWidth="1"/>
    <col min="1813" max="1813" width="12.42578125" style="1" bestFit="1" customWidth="1"/>
    <col min="1814" max="1814" width="16" style="1" bestFit="1" customWidth="1"/>
    <col min="1815" max="1815" width="10.42578125" style="1" bestFit="1" customWidth="1"/>
    <col min="1816" max="1816" width="27.5703125" style="1" bestFit="1" customWidth="1"/>
    <col min="1817" max="2046" width="9.140625" style="1"/>
    <col min="2047" max="2047" width="31.5703125" style="1" bestFit="1" customWidth="1"/>
    <col min="2048" max="2048" width="15.28515625" style="1" bestFit="1" customWidth="1"/>
    <col min="2049" max="2051" width="15.28515625" style="1" customWidth="1"/>
    <col min="2052" max="2052" width="16" style="1" bestFit="1" customWidth="1"/>
    <col min="2053" max="2055" width="16.140625" style="1" customWidth="1"/>
    <col min="2056" max="2056" width="16.28515625" style="1" customWidth="1"/>
    <col min="2057" max="2057" width="14.7109375" style="1" bestFit="1" customWidth="1"/>
    <col min="2058" max="2058" width="15" style="1" bestFit="1" customWidth="1"/>
    <col min="2059" max="2059" width="16.85546875" style="1" customWidth="1"/>
    <col min="2060" max="2060" width="16" style="1" bestFit="1" customWidth="1"/>
    <col min="2061" max="2061" width="16.28515625" style="1" customWidth="1"/>
    <col min="2062" max="2062" width="15.28515625" style="1" bestFit="1" customWidth="1"/>
    <col min="2063" max="2063" width="10.28515625" style="1" bestFit="1" customWidth="1"/>
    <col min="2064" max="2064" width="18.5703125" style="1" bestFit="1" customWidth="1"/>
    <col min="2065" max="2065" width="14" style="1" bestFit="1" customWidth="1"/>
    <col min="2066" max="2066" width="11.85546875" style="1" bestFit="1" customWidth="1"/>
    <col min="2067" max="2067" width="25.85546875" style="1" bestFit="1" customWidth="1"/>
    <col min="2068" max="2068" width="17" style="1" bestFit="1" customWidth="1"/>
    <col min="2069" max="2069" width="12.42578125" style="1" bestFit="1" customWidth="1"/>
    <col min="2070" max="2070" width="16" style="1" bestFit="1" customWidth="1"/>
    <col min="2071" max="2071" width="10.42578125" style="1" bestFit="1" customWidth="1"/>
    <col min="2072" max="2072" width="27.5703125" style="1" bestFit="1" customWidth="1"/>
    <col min="2073" max="2302" width="9.140625" style="1"/>
    <col min="2303" max="2303" width="31.5703125" style="1" bestFit="1" customWidth="1"/>
    <col min="2304" max="2304" width="15.28515625" style="1" bestFit="1" customWidth="1"/>
    <col min="2305" max="2307" width="15.28515625" style="1" customWidth="1"/>
    <col min="2308" max="2308" width="16" style="1" bestFit="1" customWidth="1"/>
    <col min="2309" max="2311" width="16.140625" style="1" customWidth="1"/>
    <col min="2312" max="2312" width="16.28515625" style="1" customWidth="1"/>
    <col min="2313" max="2313" width="14.7109375" style="1" bestFit="1" customWidth="1"/>
    <col min="2314" max="2314" width="15" style="1" bestFit="1" customWidth="1"/>
    <col min="2315" max="2315" width="16.85546875" style="1" customWidth="1"/>
    <col min="2316" max="2316" width="16" style="1" bestFit="1" customWidth="1"/>
    <col min="2317" max="2317" width="16.28515625" style="1" customWidth="1"/>
    <col min="2318" max="2318" width="15.28515625" style="1" bestFit="1" customWidth="1"/>
    <col min="2319" max="2319" width="10.28515625" style="1" bestFit="1" customWidth="1"/>
    <col min="2320" max="2320" width="18.5703125" style="1" bestFit="1" customWidth="1"/>
    <col min="2321" max="2321" width="14" style="1" bestFit="1" customWidth="1"/>
    <col min="2322" max="2322" width="11.85546875" style="1" bestFit="1" customWidth="1"/>
    <col min="2323" max="2323" width="25.85546875" style="1" bestFit="1" customWidth="1"/>
    <col min="2324" max="2324" width="17" style="1" bestFit="1" customWidth="1"/>
    <col min="2325" max="2325" width="12.42578125" style="1" bestFit="1" customWidth="1"/>
    <col min="2326" max="2326" width="16" style="1" bestFit="1" customWidth="1"/>
    <col min="2327" max="2327" width="10.42578125" style="1" bestFit="1" customWidth="1"/>
    <col min="2328" max="2328" width="27.5703125" style="1" bestFit="1" customWidth="1"/>
    <col min="2329" max="2558" width="9.140625" style="1"/>
    <col min="2559" max="2559" width="31.5703125" style="1" bestFit="1" customWidth="1"/>
    <col min="2560" max="2560" width="15.28515625" style="1" bestFit="1" customWidth="1"/>
    <col min="2561" max="2563" width="15.28515625" style="1" customWidth="1"/>
    <col min="2564" max="2564" width="16" style="1" bestFit="1" customWidth="1"/>
    <col min="2565" max="2567" width="16.140625" style="1" customWidth="1"/>
    <col min="2568" max="2568" width="16.28515625" style="1" customWidth="1"/>
    <col min="2569" max="2569" width="14.7109375" style="1" bestFit="1" customWidth="1"/>
    <col min="2570" max="2570" width="15" style="1" bestFit="1" customWidth="1"/>
    <col min="2571" max="2571" width="16.85546875" style="1" customWidth="1"/>
    <col min="2572" max="2572" width="16" style="1" bestFit="1" customWidth="1"/>
    <col min="2573" max="2573" width="16.28515625" style="1" customWidth="1"/>
    <col min="2574" max="2574" width="15.28515625" style="1" bestFit="1" customWidth="1"/>
    <col min="2575" max="2575" width="10.28515625" style="1" bestFit="1" customWidth="1"/>
    <col min="2576" max="2576" width="18.5703125" style="1" bestFit="1" customWidth="1"/>
    <col min="2577" max="2577" width="14" style="1" bestFit="1" customWidth="1"/>
    <col min="2578" max="2578" width="11.85546875" style="1" bestFit="1" customWidth="1"/>
    <col min="2579" max="2579" width="25.85546875" style="1" bestFit="1" customWidth="1"/>
    <col min="2580" max="2580" width="17" style="1" bestFit="1" customWidth="1"/>
    <col min="2581" max="2581" width="12.42578125" style="1" bestFit="1" customWidth="1"/>
    <col min="2582" max="2582" width="16" style="1" bestFit="1" customWidth="1"/>
    <col min="2583" max="2583" width="10.42578125" style="1" bestFit="1" customWidth="1"/>
    <col min="2584" max="2584" width="27.5703125" style="1" bestFit="1" customWidth="1"/>
    <col min="2585" max="2814" width="9.140625" style="1"/>
    <col min="2815" max="2815" width="31.5703125" style="1" bestFit="1" customWidth="1"/>
    <col min="2816" max="2816" width="15.28515625" style="1" bestFit="1" customWidth="1"/>
    <col min="2817" max="2819" width="15.28515625" style="1" customWidth="1"/>
    <col min="2820" max="2820" width="16" style="1" bestFit="1" customWidth="1"/>
    <col min="2821" max="2823" width="16.140625" style="1" customWidth="1"/>
    <col min="2824" max="2824" width="16.28515625" style="1" customWidth="1"/>
    <col min="2825" max="2825" width="14.7109375" style="1" bestFit="1" customWidth="1"/>
    <col min="2826" max="2826" width="15" style="1" bestFit="1" customWidth="1"/>
    <col min="2827" max="2827" width="16.85546875" style="1" customWidth="1"/>
    <col min="2828" max="2828" width="16" style="1" bestFit="1" customWidth="1"/>
    <col min="2829" max="2829" width="16.28515625" style="1" customWidth="1"/>
    <col min="2830" max="2830" width="15.28515625" style="1" bestFit="1" customWidth="1"/>
    <col min="2831" max="2831" width="10.28515625" style="1" bestFit="1" customWidth="1"/>
    <col min="2832" max="2832" width="18.5703125" style="1" bestFit="1" customWidth="1"/>
    <col min="2833" max="2833" width="14" style="1" bestFit="1" customWidth="1"/>
    <col min="2834" max="2834" width="11.85546875" style="1" bestFit="1" customWidth="1"/>
    <col min="2835" max="2835" width="25.85546875" style="1" bestFit="1" customWidth="1"/>
    <col min="2836" max="2836" width="17" style="1" bestFit="1" customWidth="1"/>
    <col min="2837" max="2837" width="12.42578125" style="1" bestFit="1" customWidth="1"/>
    <col min="2838" max="2838" width="16" style="1" bestFit="1" customWidth="1"/>
    <col min="2839" max="2839" width="10.42578125" style="1" bestFit="1" customWidth="1"/>
    <col min="2840" max="2840" width="27.5703125" style="1" bestFit="1" customWidth="1"/>
    <col min="2841" max="3070" width="9.140625" style="1"/>
    <col min="3071" max="3071" width="31.5703125" style="1" bestFit="1" customWidth="1"/>
    <col min="3072" max="3072" width="15.28515625" style="1" bestFit="1" customWidth="1"/>
    <col min="3073" max="3075" width="15.28515625" style="1" customWidth="1"/>
    <col min="3076" max="3076" width="16" style="1" bestFit="1" customWidth="1"/>
    <col min="3077" max="3079" width="16.140625" style="1" customWidth="1"/>
    <col min="3080" max="3080" width="16.28515625" style="1" customWidth="1"/>
    <col min="3081" max="3081" width="14.7109375" style="1" bestFit="1" customWidth="1"/>
    <col min="3082" max="3082" width="15" style="1" bestFit="1" customWidth="1"/>
    <col min="3083" max="3083" width="16.85546875" style="1" customWidth="1"/>
    <col min="3084" max="3084" width="16" style="1" bestFit="1" customWidth="1"/>
    <col min="3085" max="3085" width="16.28515625" style="1" customWidth="1"/>
    <col min="3086" max="3086" width="15.28515625" style="1" bestFit="1" customWidth="1"/>
    <col min="3087" max="3087" width="10.28515625" style="1" bestFit="1" customWidth="1"/>
    <col min="3088" max="3088" width="18.5703125" style="1" bestFit="1" customWidth="1"/>
    <col min="3089" max="3089" width="14" style="1" bestFit="1" customWidth="1"/>
    <col min="3090" max="3090" width="11.85546875" style="1" bestFit="1" customWidth="1"/>
    <col min="3091" max="3091" width="25.85546875" style="1" bestFit="1" customWidth="1"/>
    <col min="3092" max="3092" width="17" style="1" bestFit="1" customWidth="1"/>
    <col min="3093" max="3093" width="12.42578125" style="1" bestFit="1" customWidth="1"/>
    <col min="3094" max="3094" width="16" style="1" bestFit="1" customWidth="1"/>
    <col min="3095" max="3095" width="10.42578125" style="1" bestFit="1" customWidth="1"/>
    <col min="3096" max="3096" width="27.5703125" style="1" bestFit="1" customWidth="1"/>
    <col min="3097" max="3326" width="9.140625" style="1"/>
    <col min="3327" max="3327" width="31.5703125" style="1" bestFit="1" customWidth="1"/>
    <col min="3328" max="3328" width="15.28515625" style="1" bestFit="1" customWidth="1"/>
    <col min="3329" max="3331" width="15.28515625" style="1" customWidth="1"/>
    <col min="3332" max="3332" width="16" style="1" bestFit="1" customWidth="1"/>
    <col min="3333" max="3335" width="16.140625" style="1" customWidth="1"/>
    <col min="3336" max="3336" width="16.28515625" style="1" customWidth="1"/>
    <col min="3337" max="3337" width="14.7109375" style="1" bestFit="1" customWidth="1"/>
    <col min="3338" max="3338" width="15" style="1" bestFit="1" customWidth="1"/>
    <col min="3339" max="3339" width="16.85546875" style="1" customWidth="1"/>
    <col min="3340" max="3340" width="16" style="1" bestFit="1" customWidth="1"/>
    <col min="3341" max="3341" width="16.28515625" style="1" customWidth="1"/>
    <col min="3342" max="3342" width="15.28515625" style="1" bestFit="1" customWidth="1"/>
    <col min="3343" max="3343" width="10.28515625" style="1" bestFit="1" customWidth="1"/>
    <col min="3344" max="3344" width="18.5703125" style="1" bestFit="1" customWidth="1"/>
    <col min="3345" max="3345" width="14" style="1" bestFit="1" customWidth="1"/>
    <col min="3346" max="3346" width="11.85546875" style="1" bestFit="1" customWidth="1"/>
    <col min="3347" max="3347" width="25.85546875" style="1" bestFit="1" customWidth="1"/>
    <col min="3348" max="3348" width="17" style="1" bestFit="1" customWidth="1"/>
    <col min="3349" max="3349" width="12.42578125" style="1" bestFit="1" customWidth="1"/>
    <col min="3350" max="3350" width="16" style="1" bestFit="1" customWidth="1"/>
    <col min="3351" max="3351" width="10.42578125" style="1" bestFit="1" customWidth="1"/>
    <col min="3352" max="3352" width="27.5703125" style="1" bestFit="1" customWidth="1"/>
    <col min="3353" max="3582" width="9.140625" style="1"/>
    <col min="3583" max="3583" width="31.5703125" style="1" bestFit="1" customWidth="1"/>
    <col min="3584" max="3584" width="15.28515625" style="1" bestFit="1" customWidth="1"/>
    <col min="3585" max="3587" width="15.28515625" style="1" customWidth="1"/>
    <col min="3588" max="3588" width="16" style="1" bestFit="1" customWidth="1"/>
    <col min="3589" max="3591" width="16.140625" style="1" customWidth="1"/>
    <col min="3592" max="3592" width="16.28515625" style="1" customWidth="1"/>
    <col min="3593" max="3593" width="14.7109375" style="1" bestFit="1" customWidth="1"/>
    <col min="3594" max="3594" width="15" style="1" bestFit="1" customWidth="1"/>
    <col min="3595" max="3595" width="16.85546875" style="1" customWidth="1"/>
    <col min="3596" max="3596" width="16" style="1" bestFit="1" customWidth="1"/>
    <col min="3597" max="3597" width="16.28515625" style="1" customWidth="1"/>
    <col min="3598" max="3598" width="15.28515625" style="1" bestFit="1" customWidth="1"/>
    <col min="3599" max="3599" width="10.28515625" style="1" bestFit="1" customWidth="1"/>
    <col min="3600" max="3600" width="18.5703125" style="1" bestFit="1" customWidth="1"/>
    <col min="3601" max="3601" width="14" style="1" bestFit="1" customWidth="1"/>
    <col min="3602" max="3602" width="11.85546875" style="1" bestFit="1" customWidth="1"/>
    <col min="3603" max="3603" width="25.85546875" style="1" bestFit="1" customWidth="1"/>
    <col min="3604" max="3604" width="17" style="1" bestFit="1" customWidth="1"/>
    <col min="3605" max="3605" width="12.42578125" style="1" bestFit="1" customWidth="1"/>
    <col min="3606" max="3606" width="16" style="1" bestFit="1" customWidth="1"/>
    <col min="3607" max="3607" width="10.42578125" style="1" bestFit="1" customWidth="1"/>
    <col min="3608" max="3608" width="27.5703125" style="1" bestFit="1" customWidth="1"/>
    <col min="3609" max="3838" width="9.140625" style="1"/>
    <col min="3839" max="3839" width="31.5703125" style="1" bestFit="1" customWidth="1"/>
    <col min="3840" max="3840" width="15.28515625" style="1" bestFit="1" customWidth="1"/>
    <col min="3841" max="3843" width="15.28515625" style="1" customWidth="1"/>
    <col min="3844" max="3844" width="16" style="1" bestFit="1" customWidth="1"/>
    <col min="3845" max="3847" width="16.140625" style="1" customWidth="1"/>
    <col min="3848" max="3848" width="16.28515625" style="1" customWidth="1"/>
    <col min="3849" max="3849" width="14.7109375" style="1" bestFit="1" customWidth="1"/>
    <col min="3850" max="3850" width="15" style="1" bestFit="1" customWidth="1"/>
    <col min="3851" max="3851" width="16.85546875" style="1" customWidth="1"/>
    <col min="3852" max="3852" width="16" style="1" bestFit="1" customWidth="1"/>
    <col min="3853" max="3853" width="16.28515625" style="1" customWidth="1"/>
    <col min="3854" max="3854" width="15.28515625" style="1" bestFit="1" customWidth="1"/>
    <col min="3855" max="3855" width="10.28515625" style="1" bestFit="1" customWidth="1"/>
    <col min="3856" max="3856" width="18.5703125" style="1" bestFit="1" customWidth="1"/>
    <col min="3857" max="3857" width="14" style="1" bestFit="1" customWidth="1"/>
    <col min="3858" max="3858" width="11.85546875" style="1" bestFit="1" customWidth="1"/>
    <col min="3859" max="3859" width="25.85546875" style="1" bestFit="1" customWidth="1"/>
    <col min="3860" max="3860" width="17" style="1" bestFit="1" customWidth="1"/>
    <col min="3861" max="3861" width="12.42578125" style="1" bestFit="1" customWidth="1"/>
    <col min="3862" max="3862" width="16" style="1" bestFit="1" customWidth="1"/>
    <col min="3863" max="3863" width="10.42578125" style="1" bestFit="1" customWidth="1"/>
    <col min="3864" max="3864" width="27.5703125" style="1" bestFit="1" customWidth="1"/>
    <col min="3865" max="4094" width="9.140625" style="1"/>
    <col min="4095" max="4095" width="31.5703125" style="1" bestFit="1" customWidth="1"/>
    <col min="4096" max="4096" width="15.28515625" style="1" bestFit="1" customWidth="1"/>
    <col min="4097" max="4099" width="15.28515625" style="1" customWidth="1"/>
    <col min="4100" max="4100" width="16" style="1" bestFit="1" customWidth="1"/>
    <col min="4101" max="4103" width="16.140625" style="1" customWidth="1"/>
    <col min="4104" max="4104" width="16.28515625" style="1" customWidth="1"/>
    <col min="4105" max="4105" width="14.7109375" style="1" bestFit="1" customWidth="1"/>
    <col min="4106" max="4106" width="15" style="1" bestFit="1" customWidth="1"/>
    <col min="4107" max="4107" width="16.85546875" style="1" customWidth="1"/>
    <col min="4108" max="4108" width="16" style="1" bestFit="1" customWidth="1"/>
    <col min="4109" max="4109" width="16.28515625" style="1" customWidth="1"/>
    <col min="4110" max="4110" width="15.28515625" style="1" bestFit="1" customWidth="1"/>
    <col min="4111" max="4111" width="10.28515625" style="1" bestFit="1" customWidth="1"/>
    <col min="4112" max="4112" width="18.5703125" style="1" bestFit="1" customWidth="1"/>
    <col min="4113" max="4113" width="14" style="1" bestFit="1" customWidth="1"/>
    <col min="4114" max="4114" width="11.85546875" style="1" bestFit="1" customWidth="1"/>
    <col min="4115" max="4115" width="25.85546875" style="1" bestFit="1" customWidth="1"/>
    <col min="4116" max="4116" width="17" style="1" bestFit="1" customWidth="1"/>
    <col min="4117" max="4117" width="12.42578125" style="1" bestFit="1" customWidth="1"/>
    <col min="4118" max="4118" width="16" style="1" bestFit="1" customWidth="1"/>
    <col min="4119" max="4119" width="10.42578125" style="1" bestFit="1" customWidth="1"/>
    <col min="4120" max="4120" width="27.5703125" style="1" bestFit="1" customWidth="1"/>
    <col min="4121" max="4350" width="9.140625" style="1"/>
    <col min="4351" max="4351" width="31.5703125" style="1" bestFit="1" customWidth="1"/>
    <col min="4352" max="4352" width="15.28515625" style="1" bestFit="1" customWidth="1"/>
    <col min="4353" max="4355" width="15.28515625" style="1" customWidth="1"/>
    <col min="4356" max="4356" width="16" style="1" bestFit="1" customWidth="1"/>
    <col min="4357" max="4359" width="16.140625" style="1" customWidth="1"/>
    <col min="4360" max="4360" width="16.28515625" style="1" customWidth="1"/>
    <col min="4361" max="4361" width="14.7109375" style="1" bestFit="1" customWidth="1"/>
    <col min="4362" max="4362" width="15" style="1" bestFit="1" customWidth="1"/>
    <col min="4363" max="4363" width="16.85546875" style="1" customWidth="1"/>
    <col min="4364" max="4364" width="16" style="1" bestFit="1" customWidth="1"/>
    <col min="4365" max="4365" width="16.28515625" style="1" customWidth="1"/>
    <col min="4366" max="4366" width="15.28515625" style="1" bestFit="1" customWidth="1"/>
    <col min="4367" max="4367" width="10.28515625" style="1" bestFit="1" customWidth="1"/>
    <col min="4368" max="4368" width="18.5703125" style="1" bestFit="1" customWidth="1"/>
    <col min="4369" max="4369" width="14" style="1" bestFit="1" customWidth="1"/>
    <col min="4370" max="4370" width="11.85546875" style="1" bestFit="1" customWidth="1"/>
    <col min="4371" max="4371" width="25.85546875" style="1" bestFit="1" customWidth="1"/>
    <col min="4372" max="4372" width="17" style="1" bestFit="1" customWidth="1"/>
    <col min="4373" max="4373" width="12.42578125" style="1" bestFit="1" customWidth="1"/>
    <col min="4374" max="4374" width="16" style="1" bestFit="1" customWidth="1"/>
    <col min="4375" max="4375" width="10.42578125" style="1" bestFit="1" customWidth="1"/>
    <col min="4376" max="4376" width="27.5703125" style="1" bestFit="1" customWidth="1"/>
    <col min="4377" max="4606" width="9.140625" style="1"/>
    <col min="4607" max="4607" width="31.5703125" style="1" bestFit="1" customWidth="1"/>
    <col min="4608" max="4608" width="15.28515625" style="1" bestFit="1" customWidth="1"/>
    <col min="4609" max="4611" width="15.28515625" style="1" customWidth="1"/>
    <col min="4612" max="4612" width="16" style="1" bestFit="1" customWidth="1"/>
    <col min="4613" max="4615" width="16.140625" style="1" customWidth="1"/>
    <col min="4616" max="4616" width="16.28515625" style="1" customWidth="1"/>
    <col min="4617" max="4617" width="14.7109375" style="1" bestFit="1" customWidth="1"/>
    <col min="4618" max="4618" width="15" style="1" bestFit="1" customWidth="1"/>
    <col min="4619" max="4619" width="16.85546875" style="1" customWidth="1"/>
    <col min="4620" max="4620" width="16" style="1" bestFit="1" customWidth="1"/>
    <col min="4621" max="4621" width="16.28515625" style="1" customWidth="1"/>
    <col min="4622" max="4622" width="15.28515625" style="1" bestFit="1" customWidth="1"/>
    <col min="4623" max="4623" width="10.28515625" style="1" bestFit="1" customWidth="1"/>
    <col min="4624" max="4624" width="18.5703125" style="1" bestFit="1" customWidth="1"/>
    <col min="4625" max="4625" width="14" style="1" bestFit="1" customWidth="1"/>
    <col min="4626" max="4626" width="11.85546875" style="1" bestFit="1" customWidth="1"/>
    <col min="4627" max="4627" width="25.85546875" style="1" bestFit="1" customWidth="1"/>
    <col min="4628" max="4628" width="17" style="1" bestFit="1" customWidth="1"/>
    <col min="4629" max="4629" width="12.42578125" style="1" bestFit="1" customWidth="1"/>
    <col min="4630" max="4630" width="16" style="1" bestFit="1" customWidth="1"/>
    <col min="4631" max="4631" width="10.42578125" style="1" bestFit="1" customWidth="1"/>
    <col min="4632" max="4632" width="27.5703125" style="1" bestFit="1" customWidth="1"/>
    <col min="4633" max="4862" width="9.140625" style="1"/>
    <col min="4863" max="4863" width="31.5703125" style="1" bestFit="1" customWidth="1"/>
    <col min="4864" max="4864" width="15.28515625" style="1" bestFit="1" customWidth="1"/>
    <col min="4865" max="4867" width="15.28515625" style="1" customWidth="1"/>
    <col min="4868" max="4868" width="16" style="1" bestFit="1" customWidth="1"/>
    <col min="4869" max="4871" width="16.140625" style="1" customWidth="1"/>
    <col min="4872" max="4872" width="16.28515625" style="1" customWidth="1"/>
    <col min="4873" max="4873" width="14.7109375" style="1" bestFit="1" customWidth="1"/>
    <col min="4874" max="4874" width="15" style="1" bestFit="1" customWidth="1"/>
    <col min="4875" max="4875" width="16.85546875" style="1" customWidth="1"/>
    <col min="4876" max="4876" width="16" style="1" bestFit="1" customWidth="1"/>
    <col min="4877" max="4877" width="16.28515625" style="1" customWidth="1"/>
    <col min="4878" max="4878" width="15.28515625" style="1" bestFit="1" customWidth="1"/>
    <col min="4879" max="4879" width="10.28515625" style="1" bestFit="1" customWidth="1"/>
    <col min="4880" max="4880" width="18.5703125" style="1" bestFit="1" customWidth="1"/>
    <col min="4881" max="4881" width="14" style="1" bestFit="1" customWidth="1"/>
    <col min="4882" max="4882" width="11.85546875" style="1" bestFit="1" customWidth="1"/>
    <col min="4883" max="4883" width="25.85546875" style="1" bestFit="1" customWidth="1"/>
    <col min="4884" max="4884" width="17" style="1" bestFit="1" customWidth="1"/>
    <col min="4885" max="4885" width="12.42578125" style="1" bestFit="1" customWidth="1"/>
    <col min="4886" max="4886" width="16" style="1" bestFit="1" customWidth="1"/>
    <col min="4887" max="4887" width="10.42578125" style="1" bestFit="1" customWidth="1"/>
    <col min="4888" max="4888" width="27.5703125" style="1" bestFit="1" customWidth="1"/>
    <col min="4889" max="5118" width="9.140625" style="1"/>
    <col min="5119" max="5119" width="31.5703125" style="1" bestFit="1" customWidth="1"/>
    <col min="5120" max="5120" width="15.28515625" style="1" bestFit="1" customWidth="1"/>
    <col min="5121" max="5123" width="15.28515625" style="1" customWidth="1"/>
    <col min="5124" max="5124" width="16" style="1" bestFit="1" customWidth="1"/>
    <col min="5125" max="5127" width="16.140625" style="1" customWidth="1"/>
    <col min="5128" max="5128" width="16.28515625" style="1" customWidth="1"/>
    <col min="5129" max="5129" width="14.7109375" style="1" bestFit="1" customWidth="1"/>
    <col min="5130" max="5130" width="15" style="1" bestFit="1" customWidth="1"/>
    <col min="5131" max="5131" width="16.85546875" style="1" customWidth="1"/>
    <col min="5132" max="5132" width="16" style="1" bestFit="1" customWidth="1"/>
    <col min="5133" max="5133" width="16.28515625" style="1" customWidth="1"/>
    <col min="5134" max="5134" width="15.28515625" style="1" bestFit="1" customWidth="1"/>
    <col min="5135" max="5135" width="10.28515625" style="1" bestFit="1" customWidth="1"/>
    <col min="5136" max="5136" width="18.5703125" style="1" bestFit="1" customWidth="1"/>
    <col min="5137" max="5137" width="14" style="1" bestFit="1" customWidth="1"/>
    <col min="5138" max="5138" width="11.85546875" style="1" bestFit="1" customWidth="1"/>
    <col min="5139" max="5139" width="25.85546875" style="1" bestFit="1" customWidth="1"/>
    <col min="5140" max="5140" width="17" style="1" bestFit="1" customWidth="1"/>
    <col min="5141" max="5141" width="12.42578125" style="1" bestFit="1" customWidth="1"/>
    <col min="5142" max="5142" width="16" style="1" bestFit="1" customWidth="1"/>
    <col min="5143" max="5143" width="10.42578125" style="1" bestFit="1" customWidth="1"/>
    <col min="5144" max="5144" width="27.5703125" style="1" bestFit="1" customWidth="1"/>
    <col min="5145" max="5374" width="9.140625" style="1"/>
    <col min="5375" max="5375" width="31.5703125" style="1" bestFit="1" customWidth="1"/>
    <col min="5376" max="5376" width="15.28515625" style="1" bestFit="1" customWidth="1"/>
    <col min="5377" max="5379" width="15.28515625" style="1" customWidth="1"/>
    <col min="5380" max="5380" width="16" style="1" bestFit="1" customWidth="1"/>
    <col min="5381" max="5383" width="16.140625" style="1" customWidth="1"/>
    <col min="5384" max="5384" width="16.28515625" style="1" customWidth="1"/>
    <col min="5385" max="5385" width="14.7109375" style="1" bestFit="1" customWidth="1"/>
    <col min="5386" max="5386" width="15" style="1" bestFit="1" customWidth="1"/>
    <col min="5387" max="5387" width="16.85546875" style="1" customWidth="1"/>
    <col min="5388" max="5388" width="16" style="1" bestFit="1" customWidth="1"/>
    <col min="5389" max="5389" width="16.28515625" style="1" customWidth="1"/>
    <col min="5390" max="5390" width="15.28515625" style="1" bestFit="1" customWidth="1"/>
    <col min="5391" max="5391" width="10.28515625" style="1" bestFit="1" customWidth="1"/>
    <col min="5392" max="5392" width="18.5703125" style="1" bestFit="1" customWidth="1"/>
    <col min="5393" max="5393" width="14" style="1" bestFit="1" customWidth="1"/>
    <col min="5394" max="5394" width="11.85546875" style="1" bestFit="1" customWidth="1"/>
    <col min="5395" max="5395" width="25.85546875" style="1" bestFit="1" customWidth="1"/>
    <col min="5396" max="5396" width="17" style="1" bestFit="1" customWidth="1"/>
    <col min="5397" max="5397" width="12.42578125" style="1" bestFit="1" customWidth="1"/>
    <col min="5398" max="5398" width="16" style="1" bestFit="1" customWidth="1"/>
    <col min="5399" max="5399" width="10.42578125" style="1" bestFit="1" customWidth="1"/>
    <col min="5400" max="5400" width="27.5703125" style="1" bestFit="1" customWidth="1"/>
    <col min="5401" max="5630" width="9.140625" style="1"/>
    <col min="5631" max="5631" width="31.5703125" style="1" bestFit="1" customWidth="1"/>
    <col min="5632" max="5632" width="15.28515625" style="1" bestFit="1" customWidth="1"/>
    <col min="5633" max="5635" width="15.28515625" style="1" customWidth="1"/>
    <col min="5636" max="5636" width="16" style="1" bestFit="1" customWidth="1"/>
    <col min="5637" max="5639" width="16.140625" style="1" customWidth="1"/>
    <col min="5640" max="5640" width="16.28515625" style="1" customWidth="1"/>
    <col min="5641" max="5641" width="14.7109375" style="1" bestFit="1" customWidth="1"/>
    <col min="5642" max="5642" width="15" style="1" bestFit="1" customWidth="1"/>
    <col min="5643" max="5643" width="16.85546875" style="1" customWidth="1"/>
    <col min="5644" max="5644" width="16" style="1" bestFit="1" customWidth="1"/>
    <col min="5645" max="5645" width="16.28515625" style="1" customWidth="1"/>
    <col min="5646" max="5646" width="15.28515625" style="1" bestFit="1" customWidth="1"/>
    <col min="5647" max="5647" width="10.28515625" style="1" bestFit="1" customWidth="1"/>
    <col min="5648" max="5648" width="18.5703125" style="1" bestFit="1" customWidth="1"/>
    <col min="5649" max="5649" width="14" style="1" bestFit="1" customWidth="1"/>
    <col min="5650" max="5650" width="11.85546875" style="1" bestFit="1" customWidth="1"/>
    <col min="5651" max="5651" width="25.85546875" style="1" bestFit="1" customWidth="1"/>
    <col min="5652" max="5652" width="17" style="1" bestFit="1" customWidth="1"/>
    <col min="5653" max="5653" width="12.42578125" style="1" bestFit="1" customWidth="1"/>
    <col min="5654" max="5654" width="16" style="1" bestFit="1" customWidth="1"/>
    <col min="5655" max="5655" width="10.42578125" style="1" bestFit="1" customWidth="1"/>
    <col min="5656" max="5656" width="27.5703125" style="1" bestFit="1" customWidth="1"/>
    <col min="5657" max="5886" width="9.140625" style="1"/>
    <col min="5887" max="5887" width="31.5703125" style="1" bestFit="1" customWidth="1"/>
    <col min="5888" max="5888" width="15.28515625" style="1" bestFit="1" customWidth="1"/>
    <col min="5889" max="5891" width="15.28515625" style="1" customWidth="1"/>
    <col min="5892" max="5892" width="16" style="1" bestFit="1" customWidth="1"/>
    <col min="5893" max="5895" width="16.140625" style="1" customWidth="1"/>
    <col min="5896" max="5896" width="16.28515625" style="1" customWidth="1"/>
    <col min="5897" max="5897" width="14.7109375" style="1" bestFit="1" customWidth="1"/>
    <col min="5898" max="5898" width="15" style="1" bestFit="1" customWidth="1"/>
    <col min="5899" max="5899" width="16.85546875" style="1" customWidth="1"/>
    <col min="5900" max="5900" width="16" style="1" bestFit="1" customWidth="1"/>
    <col min="5901" max="5901" width="16.28515625" style="1" customWidth="1"/>
    <col min="5902" max="5902" width="15.28515625" style="1" bestFit="1" customWidth="1"/>
    <col min="5903" max="5903" width="10.28515625" style="1" bestFit="1" customWidth="1"/>
    <col min="5904" max="5904" width="18.5703125" style="1" bestFit="1" customWidth="1"/>
    <col min="5905" max="5905" width="14" style="1" bestFit="1" customWidth="1"/>
    <col min="5906" max="5906" width="11.85546875" style="1" bestFit="1" customWidth="1"/>
    <col min="5907" max="5907" width="25.85546875" style="1" bestFit="1" customWidth="1"/>
    <col min="5908" max="5908" width="17" style="1" bestFit="1" customWidth="1"/>
    <col min="5909" max="5909" width="12.42578125" style="1" bestFit="1" customWidth="1"/>
    <col min="5910" max="5910" width="16" style="1" bestFit="1" customWidth="1"/>
    <col min="5911" max="5911" width="10.42578125" style="1" bestFit="1" customWidth="1"/>
    <col min="5912" max="5912" width="27.5703125" style="1" bestFit="1" customWidth="1"/>
    <col min="5913" max="6142" width="9.140625" style="1"/>
    <col min="6143" max="6143" width="31.5703125" style="1" bestFit="1" customWidth="1"/>
    <col min="6144" max="6144" width="15.28515625" style="1" bestFit="1" customWidth="1"/>
    <col min="6145" max="6147" width="15.28515625" style="1" customWidth="1"/>
    <col min="6148" max="6148" width="16" style="1" bestFit="1" customWidth="1"/>
    <col min="6149" max="6151" width="16.140625" style="1" customWidth="1"/>
    <col min="6152" max="6152" width="16.28515625" style="1" customWidth="1"/>
    <col min="6153" max="6153" width="14.7109375" style="1" bestFit="1" customWidth="1"/>
    <col min="6154" max="6154" width="15" style="1" bestFit="1" customWidth="1"/>
    <col min="6155" max="6155" width="16.85546875" style="1" customWidth="1"/>
    <col min="6156" max="6156" width="16" style="1" bestFit="1" customWidth="1"/>
    <col min="6157" max="6157" width="16.28515625" style="1" customWidth="1"/>
    <col min="6158" max="6158" width="15.28515625" style="1" bestFit="1" customWidth="1"/>
    <col min="6159" max="6159" width="10.28515625" style="1" bestFit="1" customWidth="1"/>
    <col min="6160" max="6160" width="18.5703125" style="1" bestFit="1" customWidth="1"/>
    <col min="6161" max="6161" width="14" style="1" bestFit="1" customWidth="1"/>
    <col min="6162" max="6162" width="11.85546875" style="1" bestFit="1" customWidth="1"/>
    <col min="6163" max="6163" width="25.85546875" style="1" bestFit="1" customWidth="1"/>
    <col min="6164" max="6164" width="17" style="1" bestFit="1" customWidth="1"/>
    <col min="6165" max="6165" width="12.42578125" style="1" bestFit="1" customWidth="1"/>
    <col min="6166" max="6166" width="16" style="1" bestFit="1" customWidth="1"/>
    <col min="6167" max="6167" width="10.42578125" style="1" bestFit="1" customWidth="1"/>
    <col min="6168" max="6168" width="27.5703125" style="1" bestFit="1" customWidth="1"/>
    <col min="6169" max="6398" width="9.140625" style="1"/>
    <col min="6399" max="6399" width="31.5703125" style="1" bestFit="1" customWidth="1"/>
    <col min="6400" max="6400" width="15.28515625" style="1" bestFit="1" customWidth="1"/>
    <col min="6401" max="6403" width="15.28515625" style="1" customWidth="1"/>
    <col min="6404" max="6404" width="16" style="1" bestFit="1" customWidth="1"/>
    <col min="6405" max="6407" width="16.140625" style="1" customWidth="1"/>
    <col min="6408" max="6408" width="16.28515625" style="1" customWidth="1"/>
    <col min="6409" max="6409" width="14.7109375" style="1" bestFit="1" customWidth="1"/>
    <col min="6410" max="6410" width="15" style="1" bestFit="1" customWidth="1"/>
    <col min="6411" max="6411" width="16.85546875" style="1" customWidth="1"/>
    <col min="6412" max="6412" width="16" style="1" bestFit="1" customWidth="1"/>
    <col min="6413" max="6413" width="16.28515625" style="1" customWidth="1"/>
    <col min="6414" max="6414" width="15.28515625" style="1" bestFit="1" customWidth="1"/>
    <col min="6415" max="6415" width="10.28515625" style="1" bestFit="1" customWidth="1"/>
    <col min="6416" max="6416" width="18.5703125" style="1" bestFit="1" customWidth="1"/>
    <col min="6417" max="6417" width="14" style="1" bestFit="1" customWidth="1"/>
    <col min="6418" max="6418" width="11.85546875" style="1" bestFit="1" customWidth="1"/>
    <col min="6419" max="6419" width="25.85546875" style="1" bestFit="1" customWidth="1"/>
    <col min="6420" max="6420" width="17" style="1" bestFit="1" customWidth="1"/>
    <col min="6421" max="6421" width="12.42578125" style="1" bestFit="1" customWidth="1"/>
    <col min="6422" max="6422" width="16" style="1" bestFit="1" customWidth="1"/>
    <col min="6423" max="6423" width="10.42578125" style="1" bestFit="1" customWidth="1"/>
    <col min="6424" max="6424" width="27.5703125" style="1" bestFit="1" customWidth="1"/>
    <col min="6425" max="6654" width="9.140625" style="1"/>
    <col min="6655" max="6655" width="31.5703125" style="1" bestFit="1" customWidth="1"/>
    <col min="6656" max="6656" width="15.28515625" style="1" bestFit="1" customWidth="1"/>
    <col min="6657" max="6659" width="15.28515625" style="1" customWidth="1"/>
    <col min="6660" max="6660" width="16" style="1" bestFit="1" customWidth="1"/>
    <col min="6661" max="6663" width="16.140625" style="1" customWidth="1"/>
    <col min="6664" max="6664" width="16.28515625" style="1" customWidth="1"/>
    <col min="6665" max="6665" width="14.7109375" style="1" bestFit="1" customWidth="1"/>
    <col min="6666" max="6666" width="15" style="1" bestFit="1" customWidth="1"/>
    <col min="6667" max="6667" width="16.85546875" style="1" customWidth="1"/>
    <col min="6668" max="6668" width="16" style="1" bestFit="1" customWidth="1"/>
    <col min="6669" max="6669" width="16.28515625" style="1" customWidth="1"/>
    <col min="6670" max="6670" width="15.28515625" style="1" bestFit="1" customWidth="1"/>
    <col min="6671" max="6671" width="10.28515625" style="1" bestFit="1" customWidth="1"/>
    <col min="6672" max="6672" width="18.5703125" style="1" bestFit="1" customWidth="1"/>
    <col min="6673" max="6673" width="14" style="1" bestFit="1" customWidth="1"/>
    <col min="6674" max="6674" width="11.85546875" style="1" bestFit="1" customWidth="1"/>
    <col min="6675" max="6675" width="25.85546875" style="1" bestFit="1" customWidth="1"/>
    <col min="6676" max="6676" width="17" style="1" bestFit="1" customWidth="1"/>
    <col min="6677" max="6677" width="12.42578125" style="1" bestFit="1" customWidth="1"/>
    <col min="6678" max="6678" width="16" style="1" bestFit="1" customWidth="1"/>
    <col min="6679" max="6679" width="10.42578125" style="1" bestFit="1" customWidth="1"/>
    <col min="6680" max="6680" width="27.5703125" style="1" bestFit="1" customWidth="1"/>
    <col min="6681" max="6910" width="9.140625" style="1"/>
    <col min="6911" max="6911" width="31.5703125" style="1" bestFit="1" customWidth="1"/>
    <col min="6912" max="6912" width="15.28515625" style="1" bestFit="1" customWidth="1"/>
    <col min="6913" max="6915" width="15.28515625" style="1" customWidth="1"/>
    <col min="6916" max="6916" width="16" style="1" bestFit="1" customWidth="1"/>
    <col min="6917" max="6919" width="16.140625" style="1" customWidth="1"/>
    <col min="6920" max="6920" width="16.28515625" style="1" customWidth="1"/>
    <col min="6921" max="6921" width="14.7109375" style="1" bestFit="1" customWidth="1"/>
    <col min="6922" max="6922" width="15" style="1" bestFit="1" customWidth="1"/>
    <col min="6923" max="6923" width="16.85546875" style="1" customWidth="1"/>
    <col min="6924" max="6924" width="16" style="1" bestFit="1" customWidth="1"/>
    <col min="6925" max="6925" width="16.28515625" style="1" customWidth="1"/>
    <col min="6926" max="6926" width="15.28515625" style="1" bestFit="1" customWidth="1"/>
    <col min="6927" max="6927" width="10.28515625" style="1" bestFit="1" customWidth="1"/>
    <col min="6928" max="6928" width="18.5703125" style="1" bestFit="1" customWidth="1"/>
    <col min="6929" max="6929" width="14" style="1" bestFit="1" customWidth="1"/>
    <col min="6930" max="6930" width="11.85546875" style="1" bestFit="1" customWidth="1"/>
    <col min="6931" max="6931" width="25.85546875" style="1" bestFit="1" customWidth="1"/>
    <col min="6932" max="6932" width="17" style="1" bestFit="1" customWidth="1"/>
    <col min="6933" max="6933" width="12.42578125" style="1" bestFit="1" customWidth="1"/>
    <col min="6934" max="6934" width="16" style="1" bestFit="1" customWidth="1"/>
    <col min="6935" max="6935" width="10.42578125" style="1" bestFit="1" customWidth="1"/>
    <col min="6936" max="6936" width="27.5703125" style="1" bestFit="1" customWidth="1"/>
    <col min="6937" max="7166" width="9.140625" style="1"/>
    <col min="7167" max="7167" width="31.5703125" style="1" bestFit="1" customWidth="1"/>
    <col min="7168" max="7168" width="15.28515625" style="1" bestFit="1" customWidth="1"/>
    <col min="7169" max="7171" width="15.28515625" style="1" customWidth="1"/>
    <col min="7172" max="7172" width="16" style="1" bestFit="1" customWidth="1"/>
    <col min="7173" max="7175" width="16.140625" style="1" customWidth="1"/>
    <col min="7176" max="7176" width="16.28515625" style="1" customWidth="1"/>
    <col min="7177" max="7177" width="14.7109375" style="1" bestFit="1" customWidth="1"/>
    <col min="7178" max="7178" width="15" style="1" bestFit="1" customWidth="1"/>
    <col min="7179" max="7179" width="16.85546875" style="1" customWidth="1"/>
    <col min="7180" max="7180" width="16" style="1" bestFit="1" customWidth="1"/>
    <col min="7181" max="7181" width="16.28515625" style="1" customWidth="1"/>
    <col min="7182" max="7182" width="15.28515625" style="1" bestFit="1" customWidth="1"/>
    <col min="7183" max="7183" width="10.28515625" style="1" bestFit="1" customWidth="1"/>
    <col min="7184" max="7184" width="18.5703125" style="1" bestFit="1" customWidth="1"/>
    <col min="7185" max="7185" width="14" style="1" bestFit="1" customWidth="1"/>
    <col min="7186" max="7186" width="11.85546875" style="1" bestFit="1" customWidth="1"/>
    <col min="7187" max="7187" width="25.85546875" style="1" bestFit="1" customWidth="1"/>
    <col min="7188" max="7188" width="17" style="1" bestFit="1" customWidth="1"/>
    <col min="7189" max="7189" width="12.42578125" style="1" bestFit="1" customWidth="1"/>
    <col min="7190" max="7190" width="16" style="1" bestFit="1" customWidth="1"/>
    <col min="7191" max="7191" width="10.42578125" style="1" bestFit="1" customWidth="1"/>
    <col min="7192" max="7192" width="27.5703125" style="1" bestFit="1" customWidth="1"/>
    <col min="7193" max="7422" width="9.140625" style="1"/>
    <col min="7423" max="7423" width="31.5703125" style="1" bestFit="1" customWidth="1"/>
    <col min="7424" max="7424" width="15.28515625" style="1" bestFit="1" customWidth="1"/>
    <col min="7425" max="7427" width="15.28515625" style="1" customWidth="1"/>
    <col min="7428" max="7428" width="16" style="1" bestFit="1" customWidth="1"/>
    <col min="7429" max="7431" width="16.140625" style="1" customWidth="1"/>
    <col min="7432" max="7432" width="16.28515625" style="1" customWidth="1"/>
    <col min="7433" max="7433" width="14.7109375" style="1" bestFit="1" customWidth="1"/>
    <col min="7434" max="7434" width="15" style="1" bestFit="1" customWidth="1"/>
    <col min="7435" max="7435" width="16.85546875" style="1" customWidth="1"/>
    <col min="7436" max="7436" width="16" style="1" bestFit="1" customWidth="1"/>
    <col min="7437" max="7437" width="16.28515625" style="1" customWidth="1"/>
    <col min="7438" max="7438" width="15.28515625" style="1" bestFit="1" customWidth="1"/>
    <col min="7439" max="7439" width="10.28515625" style="1" bestFit="1" customWidth="1"/>
    <col min="7440" max="7440" width="18.5703125" style="1" bestFit="1" customWidth="1"/>
    <col min="7441" max="7441" width="14" style="1" bestFit="1" customWidth="1"/>
    <col min="7442" max="7442" width="11.85546875" style="1" bestFit="1" customWidth="1"/>
    <col min="7443" max="7443" width="25.85546875" style="1" bestFit="1" customWidth="1"/>
    <col min="7444" max="7444" width="17" style="1" bestFit="1" customWidth="1"/>
    <col min="7445" max="7445" width="12.42578125" style="1" bestFit="1" customWidth="1"/>
    <col min="7446" max="7446" width="16" style="1" bestFit="1" customWidth="1"/>
    <col min="7447" max="7447" width="10.42578125" style="1" bestFit="1" customWidth="1"/>
    <col min="7448" max="7448" width="27.5703125" style="1" bestFit="1" customWidth="1"/>
    <col min="7449" max="7678" width="9.140625" style="1"/>
    <col min="7679" max="7679" width="31.5703125" style="1" bestFit="1" customWidth="1"/>
    <col min="7680" max="7680" width="15.28515625" style="1" bestFit="1" customWidth="1"/>
    <col min="7681" max="7683" width="15.28515625" style="1" customWidth="1"/>
    <col min="7684" max="7684" width="16" style="1" bestFit="1" customWidth="1"/>
    <col min="7685" max="7687" width="16.140625" style="1" customWidth="1"/>
    <col min="7688" max="7688" width="16.28515625" style="1" customWidth="1"/>
    <col min="7689" max="7689" width="14.7109375" style="1" bestFit="1" customWidth="1"/>
    <col min="7690" max="7690" width="15" style="1" bestFit="1" customWidth="1"/>
    <col min="7691" max="7691" width="16.85546875" style="1" customWidth="1"/>
    <col min="7692" max="7692" width="16" style="1" bestFit="1" customWidth="1"/>
    <col min="7693" max="7693" width="16.28515625" style="1" customWidth="1"/>
    <col min="7694" max="7694" width="15.28515625" style="1" bestFit="1" customWidth="1"/>
    <col min="7695" max="7695" width="10.28515625" style="1" bestFit="1" customWidth="1"/>
    <col min="7696" max="7696" width="18.5703125" style="1" bestFit="1" customWidth="1"/>
    <col min="7697" max="7697" width="14" style="1" bestFit="1" customWidth="1"/>
    <col min="7698" max="7698" width="11.85546875" style="1" bestFit="1" customWidth="1"/>
    <col min="7699" max="7699" width="25.85546875" style="1" bestFit="1" customWidth="1"/>
    <col min="7700" max="7700" width="17" style="1" bestFit="1" customWidth="1"/>
    <col min="7701" max="7701" width="12.42578125" style="1" bestFit="1" customWidth="1"/>
    <col min="7702" max="7702" width="16" style="1" bestFit="1" customWidth="1"/>
    <col min="7703" max="7703" width="10.42578125" style="1" bestFit="1" customWidth="1"/>
    <col min="7704" max="7704" width="27.5703125" style="1" bestFit="1" customWidth="1"/>
    <col min="7705" max="7934" width="9.140625" style="1"/>
    <col min="7935" max="7935" width="31.5703125" style="1" bestFit="1" customWidth="1"/>
    <col min="7936" max="7936" width="15.28515625" style="1" bestFit="1" customWidth="1"/>
    <col min="7937" max="7939" width="15.28515625" style="1" customWidth="1"/>
    <col min="7940" max="7940" width="16" style="1" bestFit="1" customWidth="1"/>
    <col min="7941" max="7943" width="16.140625" style="1" customWidth="1"/>
    <col min="7944" max="7944" width="16.28515625" style="1" customWidth="1"/>
    <col min="7945" max="7945" width="14.7109375" style="1" bestFit="1" customWidth="1"/>
    <col min="7946" max="7946" width="15" style="1" bestFit="1" customWidth="1"/>
    <col min="7947" max="7947" width="16.85546875" style="1" customWidth="1"/>
    <col min="7948" max="7948" width="16" style="1" bestFit="1" customWidth="1"/>
    <col min="7949" max="7949" width="16.28515625" style="1" customWidth="1"/>
    <col min="7950" max="7950" width="15.28515625" style="1" bestFit="1" customWidth="1"/>
    <col min="7951" max="7951" width="10.28515625" style="1" bestFit="1" customWidth="1"/>
    <col min="7952" max="7952" width="18.5703125" style="1" bestFit="1" customWidth="1"/>
    <col min="7953" max="7953" width="14" style="1" bestFit="1" customWidth="1"/>
    <col min="7954" max="7954" width="11.85546875" style="1" bestFit="1" customWidth="1"/>
    <col min="7955" max="7955" width="25.85546875" style="1" bestFit="1" customWidth="1"/>
    <col min="7956" max="7956" width="17" style="1" bestFit="1" customWidth="1"/>
    <col min="7957" max="7957" width="12.42578125" style="1" bestFit="1" customWidth="1"/>
    <col min="7958" max="7958" width="16" style="1" bestFit="1" customWidth="1"/>
    <col min="7959" max="7959" width="10.42578125" style="1" bestFit="1" customWidth="1"/>
    <col min="7960" max="7960" width="27.5703125" style="1" bestFit="1" customWidth="1"/>
    <col min="7961" max="8190" width="9.140625" style="1"/>
    <col min="8191" max="8191" width="31.5703125" style="1" bestFit="1" customWidth="1"/>
    <col min="8192" max="8192" width="15.28515625" style="1" bestFit="1" customWidth="1"/>
    <col min="8193" max="8195" width="15.28515625" style="1" customWidth="1"/>
    <col min="8196" max="8196" width="16" style="1" bestFit="1" customWidth="1"/>
    <col min="8197" max="8199" width="16.140625" style="1" customWidth="1"/>
    <col min="8200" max="8200" width="16.28515625" style="1" customWidth="1"/>
    <col min="8201" max="8201" width="14.7109375" style="1" bestFit="1" customWidth="1"/>
    <col min="8202" max="8202" width="15" style="1" bestFit="1" customWidth="1"/>
    <col min="8203" max="8203" width="16.85546875" style="1" customWidth="1"/>
    <col min="8204" max="8204" width="16" style="1" bestFit="1" customWidth="1"/>
    <col min="8205" max="8205" width="16.28515625" style="1" customWidth="1"/>
    <col min="8206" max="8206" width="15.28515625" style="1" bestFit="1" customWidth="1"/>
    <col min="8207" max="8207" width="10.28515625" style="1" bestFit="1" customWidth="1"/>
    <col min="8208" max="8208" width="18.5703125" style="1" bestFit="1" customWidth="1"/>
    <col min="8209" max="8209" width="14" style="1" bestFit="1" customWidth="1"/>
    <col min="8210" max="8210" width="11.85546875" style="1" bestFit="1" customWidth="1"/>
    <col min="8211" max="8211" width="25.85546875" style="1" bestFit="1" customWidth="1"/>
    <col min="8212" max="8212" width="17" style="1" bestFit="1" customWidth="1"/>
    <col min="8213" max="8213" width="12.42578125" style="1" bestFit="1" customWidth="1"/>
    <col min="8214" max="8214" width="16" style="1" bestFit="1" customWidth="1"/>
    <col min="8215" max="8215" width="10.42578125" style="1" bestFit="1" customWidth="1"/>
    <col min="8216" max="8216" width="27.5703125" style="1" bestFit="1" customWidth="1"/>
    <col min="8217" max="8446" width="9.140625" style="1"/>
    <col min="8447" max="8447" width="31.5703125" style="1" bestFit="1" customWidth="1"/>
    <col min="8448" max="8448" width="15.28515625" style="1" bestFit="1" customWidth="1"/>
    <col min="8449" max="8451" width="15.28515625" style="1" customWidth="1"/>
    <col min="8452" max="8452" width="16" style="1" bestFit="1" customWidth="1"/>
    <col min="8453" max="8455" width="16.140625" style="1" customWidth="1"/>
    <col min="8456" max="8456" width="16.28515625" style="1" customWidth="1"/>
    <col min="8457" max="8457" width="14.7109375" style="1" bestFit="1" customWidth="1"/>
    <col min="8458" max="8458" width="15" style="1" bestFit="1" customWidth="1"/>
    <col min="8459" max="8459" width="16.85546875" style="1" customWidth="1"/>
    <col min="8460" max="8460" width="16" style="1" bestFit="1" customWidth="1"/>
    <col min="8461" max="8461" width="16.28515625" style="1" customWidth="1"/>
    <col min="8462" max="8462" width="15.28515625" style="1" bestFit="1" customWidth="1"/>
    <col min="8463" max="8463" width="10.28515625" style="1" bestFit="1" customWidth="1"/>
    <col min="8464" max="8464" width="18.5703125" style="1" bestFit="1" customWidth="1"/>
    <col min="8465" max="8465" width="14" style="1" bestFit="1" customWidth="1"/>
    <col min="8466" max="8466" width="11.85546875" style="1" bestFit="1" customWidth="1"/>
    <col min="8467" max="8467" width="25.85546875" style="1" bestFit="1" customWidth="1"/>
    <col min="8468" max="8468" width="17" style="1" bestFit="1" customWidth="1"/>
    <col min="8469" max="8469" width="12.42578125" style="1" bestFit="1" customWidth="1"/>
    <col min="8470" max="8470" width="16" style="1" bestFit="1" customWidth="1"/>
    <col min="8471" max="8471" width="10.42578125" style="1" bestFit="1" customWidth="1"/>
    <col min="8472" max="8472" width="27.5703125" style="1" bestFit="1" customWidth="1"/>
    <col min="8473" max="8702" width="9.140625" style="1"/>
    <col min="8703" max="8703" width="31.5703125" style="1" bestFit="1" customWidth="1"/>
    <col min="8704" max="8704" width="15.28515625" style="1" bestFit="1" customWidth="1"/>
    <col min="8705" max="8707" width="15.28515625" style="1" customWidth="1"/>
    <col min="8708" max="8708" width="16" style="1" bestFit="1" customWidth="1"/>
    <col min="8709" max="8711" width="16.140625" style="1" customWidth="1"/>
    <col min="8712" max="8712" width="16.28515625" style="1" customWidth="1"/>
    <col min="8713" max="8713" width="14.7109375" style="1" bestFit="1" customWidth="1"/>
    <col min="8714" max="8714" width="15" style="1" bestFit="1" customWidth="1"/>
    <col min="8715" max="8715" width="16.85546875" style="1" customWidth="1"/>
    <col min="8716" max="8716" width="16" style="1" bestFit="1" customWidth="1"/>
    <col min="8717" max="8717" width="16.28515625" style="1" customWidth="1"/>
    <col min="8718" max="8718" width="15.28515625" style="1" bestFit="1" customWidth="1"/>
    <col min="8719" max="8719" width="10.28515625" style="1" bestFit="1" customWidth="1"/>
    <col min="8720" max="8720" width="18.5703125" style="1" bestFit="1" customWidth="1"/>
    <col min="8721" max="8721" width="14" style="1" bestFit="1" customWidth="1"/>
    <col min="8722" max="8722" width="11.85546875" style="1" bestFit="1" customWidth="1"/>
    <col min="8723" max="8723" width="25.85546875" style="1" bestFit="1" customWidth="1"/>
    <col min="8724" max="8724" width="17" style="1" bestFit="1" customWidth="1"/>
    <col min="8725" max="8725" width="12.42578125" style="1" bestFit="1" customWidth="1"/>
    <col min="8726" max="8726" width="16" style="1" bestFit="1" customWidth="1"/>
    <col min="8727" max="8727" width="10.42578125" style="1" bestFit="1" customWidth="1"/>
    <col min="8728" max="8728" width="27.5703125" style="1" bestFit="1" customWidth="1"/>
    <col min="8729" max="8958" width="9.140625" style="1"/>
    <col min="8959" max="8959" width="31.5703125" style="1" bestFit="1" customWidth="1"/>
    <col min="8960" max="8960" width="15.28515625" style="1" bestFit="1" customWidth="1"/>
    <col min="8961" max="8963" width="15.28515625" style="1" customWidth="1"/>
    <col min="8964" max="8964" width="16" style="1" bestFit="1" customWidth="1"/>
    <col min="8965" max="8967" width="16.140625" style="1" customWidth="1"/>
    <col min="8968" max="8968" width="16.28515625" style="1" customWidth="1"/>
    <col min="8969" max="8969" width="14.7109375" style="1" bestFit="1" customWidth="1"/>
    <col min="8970" max="8970" width="15" style="1" bestFit="1" customWidth="1"/>
    <col min="8971" max="8971" width="16.85546875" style="1" customWidth="1"/>
    <col min="8972" max="8972" width="16" style="1" bestFit="1" customWidth="1"/>
    <col min="8973" max="8973" width="16.28515625" style="1" customWidth="1"/>
    <col min="8974" max="8974" width="15.28515625" style="1" bestFit="1" customWidth="1"/>
    <col min="8975" max="8975" width="10.28515625" style="1" bestFit="1" customWidth="1"/>
    <col min="8976" max="8976" width="18.5703125" style="1" bestFit="1" customWidth="1"/>
    <col min="8977" max="8977" width="14" style="1" bestFit="1" customWidth="1"/>
    <col min="8978" max="8978" width="11.85546875" style="1" bestFit="1" customWidth="1"/>
    <col min="8979" max="8979" width="25.85546875" style="1" bestFit="1" customWidth="1"/>
    <col min="8980" max="8980" width="17" style="1" bestFit="1" customWidth="1"/>
    <col min="8981" max="8981" width="12.42578125" style="1" bestFit="1" customWidth="1"/>
    <col min="8982" max="8982" width="16" style="1" bestFit="1" customWidth="1"/>
    <col min="8983" max="8983" width="10.42578125" style="1" bestFit="1" customWidth="1"/>
    <col min="8984" max="8984" width="27.5703125" style="1" bestFit="1" customWidth="1"/>
    <col min="8985" max="9214" width="9.140625" style="1"/>
    <col min="9215" max="9215" width="31.5703125" style="1" bestFit="1" customWidth="1"/>
    <col min="9216" max="9216" width="15.28515625" style="1" bestFit="1" customWidth="1"/>
    <col min="9217" max="9219" width="15.28515625" style="1" customWidth="1"/>
    <col min="9220" max="9220" width="16" style="1" bestFit="1" customWidth="1"/>
    <col min="9221" max="9223" width="16.140625" style="1" customWidth="1"/>
    <col min="9224" max="9224" width="16.28515625" style="1" customWidth="1"/>
    <col min="9225" max="9225" width="14.7109375" style="1" bestFit="1" customWidth="1"/>
    <col min="9226" max="9226" width="15" style="1" bestFit="1" customWidth="1"/>
    <col min="9227" max="9227" width="16.85546875" style="1" customWidth="1"/>
    <col min="9228" max="9228" width="16" style="1" bestFit="1" customWidth="1"/>
    <col min="9229" max="9229" width="16.28515625" style="1" customWidth="1"/>
    <col min="9230" max="9230" width="15.28515625" style="1" bestFit="1" customWidth="1"/>
    <col min="9231" max="9231" width="10.28515625" style="1" bestFit="1" customWidth="1"/>
    <col min="9232" max="9232" width="18.5703125" style="1" bestFit="1" customWidth="1"/>
    <col min="9233" max="9233" width="14" style="1" bestFit="1" customWidth="1"/>
    <col min="9234" max="9234" width="11.85546875" style="1" bestFit="1" customWidth="1"/>
    <col min="9235" max="9235" width="25.85546875" style="1" bestFit="1" customWidth="1"/>
    <col min="9236" max="9236" width="17" style="1" bestFit="1" customWidth="1"/>
    <col min="9237" max="9237" width="12.42578125" style="1" bestFit="1" customWidth="1"/>
    <col min="9238" max="9238" width="16" style="1" bestFit="1" customWidth="1"/>
    <col min="9239" max="9239" width="10.42578125" style="1" bestFit="1" customWidth="1"/>
    <col min="9240" max="9240" width="27.5703125" style="1" bestFit="1" customWidth="1"/>
    <col min="9241" max="9470" width="9.140625" style="1"/>
    <col min="9471" max="9471" width="31.5703125" style="1" bestFit="1" customWidth="1"/>
    <col min="9472" max="9472" width="15.28515625" style="1" bestFit="1" customWidth="1"/>
    <col min="9473" max="9475" width="15.28515625" style="1" customWidth="1"/>
    <col min="9476" max="9476" width="16" style="1" bestFit="1" customWidth="1"/>
    <col min="9477" max="9479" width="16.140625" style="1" customWidth="1"/>
    <col min="9480" max="9480" width="16.28515625" style="1" customWidth="1"/>
    <col min="9481" max="9481" width="14.7109375" style="1" bestFit="1" customWidth="1"/>
    <col min="9482" max="9482" width="15" style="1" bestFit="1" customWidth="1"/>
    <col min="9483" max="9483" width="16.85546875" style="1" customWidth="1"/>
    <col min="9484" max="9484" width="16" style="1" bestFit="1" customWidth="1"/>
    <col min="9485" max="9485" width="16.28515625" style="1" customWidth="1"/>
    <col min="9486" max="9486" width="15.28515625" style="1" bestFit="1" customWidth="1"/>
    <col min="9487" max="9487" width="10.28515625" style="1" bestFit="1" customWidth="1"/>
    <col min="9488" max="9488" width="18.5703125" style="1" bestFit="1" customWidth="1"/>
    <col min="9489" max="9489" width="14" style="1" bestFit="1" customWidth="1"/>
    <col min="9490" max="9490" width="11.85546875" style="1" bestFit="1" customWidth="1"/>
    <col min="9491" max="9491" width="25.85546875" style="1" bestFit="1" customWidth="1"/>
    <col min="9492" max="9492" width="17" style="1" bestFit="1" customWidth="1"/>
    <col min="9493" max="9493" width="12.42578125" style="1" bestFit="1" customWidth="1"/>
    <col min="9494" max="9494" width="16" style="1" bestFit="1" customWidth="1"/>
    <col min="9495" max="9495" width="10.42578125" style="1" bestFit="1" customWidth="1"/>
    <col min="9496" max="9496" width="27.5703125" style="1" bestFit="1" customWidth="1"/>
    <col min="9497" max="9726" width="9.140625" style="1"/>
    <col min="9727" max="9727" width="31.5703125" style="1" bestFit="1" customWidth="1"/>
    <col min="9728" max="9728" width="15.28515625" style="1" bestFit="1" customWidth="1"/>
    <col min="9729" max="9731" width="15.28515625" style="1" customWidth="1"/>
    <col min="9732" max="9732" width="16" style="1" bestFit="1" customWidth="1"/>
    <col min="9733" max="9735" width="16.140625" style="1" customWidth="1"/>
    <col min="9736" max="9736" width="16.28515625" style="1" customWidth="1"/>
    <col min="9737" max="9737" width="14.7109375" style="1" bestFit="1" customWidth="1"/>
    <col min="9738" max="9738" width="15" style="1" bestFit="1" customWidth="1"/>
    <col min="9739" max="9739" width="16.85546875" style="1" customWidth="1"/>
    <col min="9740" max="9740" width="16" style="1" bestFit="1" customWidth="1"/>
    <col min="9741" max="9741" width="16.28515625" style="1" customWidth="1"/>
    <col min="9742" max="9742" width="15.28515625" style="1" bestFit="1" customWidth="1"/>
    <col min="9743" max="9743" width="10.28515625" style="1" bestFit="1" customWidth="1"/>
    <col min="9744" max="9744" width="18.5703125" style="1" bestFit="1" customWidth="1"/>
    <col min="9745" max="9745" width="14" style="1" bestFit="1" customWidth="1"/>
    <col min="9746" max="9746" width="11.85546875" style="1" bestFit="1" customWidth="1"/>
    <col min="9747" max="9747" width="25.85546875" style="1" bestFit="1" customWidth="1"/>
    <col min="9748" max="9748" width="17" style="1" bestFit="1" customWidth="1"/>
    <col min="9749" max="9749" width="12.42578125" style="1" bestFit="1" customWidth="1"/>
    <col min="9750" max="9750" width="16" style="1" bestFit="1" customWidth="1"/>
    <col min="9751" max="9751" width="10.42578125" style="1" bestFit="1" customWidth="1"/>
    <col min="9752" max="9752" width="27.5703125" style="1" bestFit="1" customWidth="1"/>
    <col min="9753" max="9982" width="9.140625" style="1"/>
    <col min="9983" max="9983" width="31.5703125" style="1" bestFit="1" customWidth="1"/>
    <col min="9984" max="9984" width="15.28515625" style="1" bestFit="1" customWidth="1"/>
    <col min="9985" max="9987" width="15.28515625" style="1" customWidth="1"/>
    <col min="9988" max="9988" width="16" style="1" bestFit="1" customWidth="1"/>
    <col min="9989" max="9991" width="16.140625" style="1" customWidth="1"/>
    <col min="9992" max="9992" width="16.28515625" style="1" customWidth="1"/>
    <col min="9993" max="9993" width="14.7109375" style="1" bestFit="1" customWidth="1"/>
    <col min="9994" max="9994" width="15" style="1" bestFit="1" customWidth="1"/>
    <col min="9995" max="9995" width="16.85546875" style="1" customWidth="1"/>
    <col min="9996" max="9996" width="16" style="1" bestFit="1" customWidth="1"/>
    <col min="9997" max="9997" width="16.28515625" style="1" customWidth="1"/>
    <col min="9998" max="9998" width="15.28515625" style="1" bestFit="1" customWidth="1"/>
    <col min="9999" max="9999" width="10.28515625" style="1" bestFit="1" customWidth="1"/>
    <col min="10000" max="10000" width="18.5703125" style="1" bestFit="1" customWidth="1"/>
    <col min="10001" max="10001" width="14" style="1" bestFit="1" customWidth="1"/>
    <col min="10002" max="10002" width="11.85546875" style="1" bestFit="1" customWidth="1"/>
    <col min="10003" max="10003" width="25.85546875" style="1" bestFit="1" customWidth="1"/>
    <col min="10004" max="10004" width="17" style="1" bestFit="1" customWidth="1"/>
    <col min="10005" max="10005" width="12.42578125" style="1" bestFit="1" customWidth="1"/>
    <col min="10006" max="10006" width="16" style="1" bestFit="1" customWidth="1"/>
    <col min="10007" max="10007" width="10.42578125" style="1" bestFit="1" customWidth="1"/>
    <col min="10008" max="10008" width="27.5703125" style="1" bestFit="1" customWidth="1"/>
    <col min="10009" max="10238" width="9.140625" style="1"/>
    <col min="10239" max="10239" width="31.5703125" style="1" bestFit="1" customWidth="1"/>
    <col min="10240" max="10240" width="15.28515625" style="1" bestFit="1" customWidth="1"/>
    <col min="10241" max="10243" width="15.28515625" style="1" customWidth="1"/>
    <col min="10244" max="10244" width="16" style="1" bestFit="1" customWidth="1"/>
    <col min="10245" max="10247" width="16.140625" style="1" customWidth="1"/>
    <col min="10248" max="10248" width="16.28515625" style="1" customWidth="1"/>
    <col min="10249" max="10249" width="14.7109375" style="1" bestFit="1" customWidth="1"/>
    <col min="10250" max="10250" width="15" style="1" bestFit="1" customWidth="1"/>
    <col min="10251" max="10251" width="16.85546875" style="1" customWidth="1"/>
    <col min="10252" max="10252" width="16" style="1" bestFit="1" customWidth="1"/>
    <col min="10253" max="10253" width="16.28515625" style="1" customWidth="1"/>
    <col min="10254" max="10254" width="15.28515625" style="1" bestFit="1" customWidth="1"/>
    <col min="10255" max="10255" width="10.28515625" style="1" bestFit="1" customWidth="1"/>
    <col min="10256" max="10256" width="18.5703125" style="1" bestFit="1" customWidth="1"/>
    <col min="10257" max="10257" width="14" style="1" bestFit="1" customWidth="1"/>
    <col min="10258" max="10258" width="11.85546875" style="1" bestFit="1" customWidth="1"/>
    <col min="10259" max="10259" width="25.85546875" style="1" bestFit="1" customWidth="1"/>
    <col min="10260" max="10260" width="17" style="1" bestFit="1" customWidth="1"/>
    <col min="10261" max="10261" width="12.42578125" style="1" bestFit="1" customWidth="1"/>
    <col min="10262" max="10262" width="16" style="1" bestFit="1" customWidth="1"/>
    <col min="10263" max="10263" width="10.42578125" style="1" bestFit="1" customWidth="1"/>
    <col min="10264" max="10264" width="27.5703125" style="1" bestFit="1" customWidth="1"/>
    <col min="10265" max="10494" width="9.140625" style="1"/>
    <col min="10495" max="10495" width="31.5703125" style="1" bestFit="1" customWidth="1"/>
    <col min="10496" max="10496" width="15.28515625" style="1" bestFit="1" customWidth="1"/>
    <col min="10497" max="10499" width="15.28515625" style="1" customWidth="1"/>
    <col min="10500" max="10500" width="16" style="1" bestFit="1" customWidth="1"/>
    <col min="10501" max="10503" width="16.140625" style="1" customWidth="1"/>
    <col min="10504" max="10504" width="16.28515625" style="1" customWidth="1"/>
    <col min="10505" max="10505" width="14.7109375" style="1" bestFit="1" customWidth="1"/>
    <col min="10506" max="10506" width="15" style="1" bestFit="1" customWidth="1"/>
    <col min="10507" max="10507" width="16.85546875" style="1" customWidth="1"/>
    <col min="10508" max="10508" width="16" style="1" bestFit="1" customWidth="1"/>
    <col min="10509" max="10509" width="16.28515625" style="1" customWidth="1"/>
    <col min="10510" max="10510" width="15.28515625" style="1" bestFit="1" customWidth="1"/>
    <col min="10511" max="10511" width="10.28515625" style="1" bestFit="1" customWidth="1"/>
    <col min="10512" max="10512" width="18.5703125" style="1" bestFit="1" customWidth="1"/>
    <col min="10513" max="10513" width="14" style="1" bestFit="1" customWidth="1"/>
    <col min="10514" max="10514" width="11.85546875" style="1" bestFit="1" customWidth="1"/>
    <col min="10515" max="10515" width="25.85546875" style="1" bestFit="1" customWidth="1"/>
    <col min="10516" max="10516" width="17" style="1" bestFit="1" customWidth="1"/>
    <col min="10517" max="10517" width="12.42578125" style="1" bestFit="1" customWidth="1"/>
    <col min="10518" max="10518" width="16" style="1" bestFit="1" customWidth="1"/>
    <col min="10519" max="10519" width="10.42578125" style="1" bestFit="1" customWidth="1"/>
    <col min="10520" max="10520" width="27.5703125" style="1" bestFit="1" customWidth="1"/>
    <col min="10521" max="10750" width="9.140625" style="1"/>
    <col min="10751" max="10751" width="31.5703125" style="1" bestFit="1" customWidth="1"/>
    <col min="10752" max="10752" width="15.28515625" style="1" bestFit="1" customWidth="1"/>
    <col min="10753" max="10755" width="15.28515625" style="1" customWidth="1"/>
    <col min="10756" max="10756" width="16" style="1" bestFit="1" customWidth="1"/>
    <col min="10757" max="10759" width="16.140625" style="1" customWidth="1"/>
    <col min="10760" max="10760" width="16.28515625" style="1" customWidth="1"/>
    <col min="10761" max="10761" width="14.7109375" style="1" bestFit="1" customWidth="1"/>
    <col min="10762" max="10762" width="15" style="1" bestFit="1" customWidth="1"/>
    <col min="10763" max="10763" width="16.85546875" style="1" customWidth="1"/>
    <col min="10764" max="10764" width="16" style="1" bestFit="1" customWidth="1"/>
    <col min="10765" max="10765" width="16.28515625" style="1" customWidth="1"/>
    <col min="10766" max="10766" width="15.28515625" style="1" bestFit="1" customWidth="1"/>
    <col min="10767" max="10767" width="10.28515625" style="1" bestFit="1" customWidth="1"/>
    <col min="10768" max="10768" width="18.5703125" style="1" bestFit="1" customWidth="1"/>
    <col min="10769" max="10769" width="14" style="1" bestFit="1" customWidth="1"/>
    <col min="10770" max="10770" width="11.85546875" style="1" bestFit="1" customWidth="1"/>
    <col min="10771" max="10771" width="25.85546875" style="1" bestFit="1" customWidth="1"/>
    <col min="10772" max="10772" width="17" style="1" bestFit="1" customWidth="1"/>
    <col min="10773" max="10773" width="12.42578125" style="1" bestFit="1" customWidth="1"/>
    <col min="10774" max="10774" width="16" style="1" bestFit="1" customWidth="1"/>
    <col min="10775" max="10775" width="10.42578125" style="1" bestFit="1" customWidth="1"/>
    <col min="10776" max="10776" width="27.5703125" style="1" bestFit="1" customWidth="1"/>
    <col min="10777" max="11006" width="9.140625" style="1"/>
    <col min="11007" max="11007" width="31.5703125" style="1" bestFit="1" customWidth="1"/>
    <col min="11008" max="11008" width="15.28515625" style="1" bestFit="1" customWidth="1"/>
    <col min="11009" max="11011" width="15.28515625" style="1" customWidth="1"/>
    <col min="11012" max="11012" width="16" style="1" bestFit="1" customWidth="1"/>
    <col min="11013" max="11015" width="16.140625" style="1" customWidth="1"/>
    <col min="11016" max="11016" width="16.28515625" style="1" customWidth="1"/>
    <col min="11017" max="11017" width="14.7109375" style="1" bestFit="1" customWidth="1"/>
    <col min="11018" max="11018" width="15" style="1" bestFit="1" customWidth="1"/>
    <col min="11019" max="11019" width="16.85546875" style="1" customWidth="1"/>
    <col min="11020" max="11020" width="16" style="1" bestFit="1" customWidth="1"/>
    <col min="11021" max="11021" width="16.28515625" style="1" customWidth="1"/>
    <col min="11022" max="11022" width="15.28515625" style="1" bestFit="1" customWidth="1"/>
    <col min="11023" max="11023" width="10.28515625" style="1" bestFit="1" customWidth="1"/>
    <col min="11024" max="11024" width="18.5703125" style="1" bestFit="1" customWidth="1"/>
    <col min="11025" max="11025" width="14" style="1" bestFit="1" customWidth="1"/>
    <col min="11026" max="11026" width="11.85546875" style="1" bestFit="1" customWidth="1"/>
    <col min="11027" max="11027" width="25.85546875" style="1" bestFit="1" customWidth="1"/>
    <col min="11028" max="11028" width="17" style="1" bestFit="1" customWidth="1"/>
    <col min="11029" max="11029" width="12.42578125" style="1" bestFit="1" customWidth="1"/>
    <col min="11030" max="11030" width="16" style="1" bestFit="1" customWidth="1"/>
    <col min="11031" max="11031" width="10.42578125" style="1" bestFit="1" customWidth="1"/>
    <col min="11032" max="11032" width="27.5703125" style="1" bestFit="1" customWidth="1"/>
    <col min="11033" max="11262" width="9.140625" style="1"/>
    <col min="11263" max="11263" width="31.5703125" style="1" bestFit="1" customWidth="1"/>
    <col min="11264" max="11264" width="15.28515625" style="1" bestFit="1" customWidth="1"/>
    <col min="11265" max="11267" width="15.28515625" style="1" customWidth="1"/>
    <col min="11268" max="11268" width="16" style="1" bestFit="1" customWidth="1"/>
    <col min="11269" max="11271" width="16.140625" style="1" customWidth="1"/>
    <col min="11272" max="11272" width="16.28515625" style="1" customWidth="1"/>
    <col min="11273" max="11273" width="14.7109375" style="1" bestFit="1" customWidth="1"/>
    <col min="11274" max="11274" width="15" style="1" bestFit="1" customWidth="1"/>
    <col min="11275" max="11275" width="16.85546875" style="1" customWidth="1"/>
    <col min="11276" max="11276" width="16" style="1" bestFit="1" customWidth="1"/>
    <col min="11277" max="11277" width="16.28515625" style="1" customWidth="1"/>
    <col min="11278" max="11278" width="15.28515625" style="1" bestFit="1" customWidth="1"/>
    <col min="11279" max="11279" width="10.28515625" style="1" bestFit="1" customWidth="1"/>
    <col min="11280" max="11280" width="18.5703125" style="1" bestFit="1" customWidth="1"/>
    <col min="11281" max="11281" width="14" style="1" bestFit="1" customWidth="1"/>
    <col min="11282" max="11282" width="11.85546875" style="1" bestFit="1" customWidth="1"/>
    <col min="11283" max="11283" width="25.85546875" style="1" bestFit="1" customWidth="1"/>
    <col min="11284" max="11284" width="17" style="1" bestFit="1" customWidth="1"/>
    <col min="11285" max="11285" width="12.42578125" style="1" bestFit="1" customWidth="1"/>
    <col min="11286" max="11286" width="16" style="1" bestFit="1" customWidth="1"/>
    <col min="11287" max="11287" width="10.42578125" style="1" bestFit="1" customWidth="1"/>
    <col min="11288" max="11288" width="27.5703125" style="1" bestFit="1" customWidth="1"/>
    <col min="11289" max="11518" width="9.140625" style="1"/>
    <col min="11519" max="11519" width="31.5703125" style="1" bestFit="1" customWidth="1"/>
    <col min="11520" max="11520" width="15.28515625" style="1" bestFit="1" customWidth="1"/>
    <col min="11521" max="11523" width="15.28515625" style="1" customWidth="1"/>
    <col min="11524" max="11524" width="16" style="1" bestFit="1" customWidth="1"/>
    <col min="11525" max="11527" width="16.140625" style="1" customWidth="1"/>
    <col min="11528" max="11528" width="16.28515625" style="1" customWidth="1"/>
    <col min="11529" max="11529" width="14.7109375" style="1" bestFit="1" customWidth="1"/>
    <col min="11530" max="11530" width="15" style="1" bestFit="1" customWidth="1"/>
    <col min="11531" max="11531" width="16.85546875" style="1" customWidth="1"/>
    <col min="11532" max="11532" width="16" style="1" bestFit="1" customWidth="1"/>
    <col min="11533" max="11533" width="16.28515625" style="1" customWidth="1"/>
    <col min="11534" max="11534" width="15.28515625" style="1" bestFit="1" customWidth="1"/>
    <col min="11535" max="11535" width="10.28515625" style="1" bestFit="1" customWidth="1"/>
    <col min="11536" max="11536" width="18.5703125" style="1" bestFit="1" customWidth="1"/>
    <col min="11537" max="11537" width="14" style="1" bestFit="1" customWidth="1"/>
    <col min="11538" max="11538" width="11.85546875" style="1" bestFit="1" customWidth="1"/>
    <col min="11539" max="11539" width="25.85546875" style="1" bestFit="1" customWidth="1"/>
    <col min="11540" max="11540" width="17" style="1" bestFit="1" customWidth="1"/>
    <col min="11541" max="11541" width="12.42578125" style="1" bestFit="1" customWidth="1"/>
    <col min="11542" max="11542" width="16" style="1" bestFit="1" customWidth="1"/>
    <col min="11543" max="11543" width="10.42578125" style="1" bestFit="1" customWidth="1"/>
    <col min="11544" max="11544" width="27.5703125" style="1" bestFit="1" customWidth="1"/>
    <col min="11545" max="11774" width="9.140625" style="1"/>
    <col min="11775" max="11775" width="31.5703125" style="1" bestFit="1" customWidth="1"/>
    <col min="11776" max="11776" width="15.28515625" style="1" bestFit="1" customWidth="1"/>
    <col min="11777" max="11779" width="15.28515625" style="1" customWidth="1"/>
    <col min="11780" max="11780" width="16" style="1" bestFit="1" customWidth="1"/>
    <col min="11781" max="11783" width="16.140625" style="1" customWidth="1"/>
    <col min="11784" max="11784" width="16.28515625" style="1" customWidth="1"/>
    <col min="11785" max="11785" width="14.7109375" style="1" bestFit="1" customWidth="1"/>
    <col min="11786" max="11786" width="15" style="1" bestFit="1" customWidth="1"/>
    <col min="11787" max="11787" width="16.85546875" style="1" customWidth="1"/>
    <col min="11788" max="11788" width="16" style="1" bestFit="1" customWidth="1"/>
    <col min="11789" max="11789" width="16.28515625" style="1" customWidth="1"/>
    <col min="11790" max="11790" width="15.28515625" style="1" bestFit="1" customWidth="1"/>
    <col min="11791" max="11791" width="10.28515625" style="1" bestFit="1" customWidth="1"/>
    <col min="11792" max="11792" width="18.5703125" style="1" bestFit="1" customWidth="1"/>
    <col min="11793" max="11793" width="14" style="1" bestFit="1" customWidth="1"/>
    <col min="11794" max="11794" width="11.85546875" style="1" bestFit="1" customWidth="1"/>
    <col min="11795" max="11795" width="25.85546875" style="1" bestFit="1" customWidth="1"/>
    <col min="11796" max="11796" width="17" style="1" bestFit="1" customWidth="1"/>
    <col min="11797" max="11797" width="12.42578125" style="1" bestFit="1" customWidth="1"/>
    <col min="11798" max="11798" width="16" style="1" bestFit="1" customWidth="1"/>
    <col min="11799" max="11799" width="10.42578125" style="1" bestFit="1" customWidth="1"/>
    <col min="11800" max="11800" width="27.5703125" style="1" bestFit="1" customWidth="1"/>
    <col min="11801" max="12030" width="9.140625" style="1"/>
    <col min="12031" max="12031" width="31.5703125" style="1" bestFit="1" customWidth="1"/>
    <col min="12032" max="12032" width="15.28515625" style="1" bestFit="1" customWidth="1"/>
    <col min="12033" max="12035" width="15.28515625" style="1" customWidth="1"/>
    <col min="12036" max="12036" width="16" style="1" bestFit="1" customWidth="1"/>
    <col min="12037" max="12039" width="16.140625" style="1" customWidth="1"/>
    <col min="12040" max="12040" width="16.28515625" style="1" customWidth="1"/>
    <col min="12041" max="12041" width="14.7109375" style="1" bestFit="1" customWidth="1"/>
    <col min="12042" max="12042" width="15" style="1" bestFit="1" customWidth="1"/>
    <col min="12043" max="12043" width="16.85546875" style="1" customWidth="1"/>
    <col min="12044" max="12044" width="16" style="1" bestFit="1" customWidth="1"/>
    <col min="12045" max="12045" width="16.28515625" style="1" customWidth="1"/>
    <col min="12046" max="12046" width="15.28515625" style="1" bestFit="1" customWidth="1"/>
    <col min="12047" max="12047" width="10.28515625" style="1" bestFit="1" customWidth="1"/>
    <col min="12048" max="12048" width="18.5703125" style="1" bestFit="1" customWidth="1"/>
    <col min="12049" max="12049" width="14" style="1" bestFit="1" customWidth="1"/>
    <col min="12050" max="12050" width="11.85546875" style="1" bestFit="1" customWidth="1"/>
    <col min="12051" max="12051" width="25.85546875" style="1" bestFit="1" customWidth="1"/>
    <col min="12052" max="12052" width="17" style="1" bestFit="1" customWidth="1"/>
    <col min="12053" max="12053" width="12.42578125" style="1" bestFit="1" customWidth="1"/>
    <col min="12054" max="12054" width="16" style="1" bestFit="1" customWidth="1"/>
    <col min="12055" max="12055" width="10.42578125" style="1" bestFit="1" customWidth="1"/>
    <col min="12056" max="12056" width="27.5703125" style="1" bestFit="1" customWidth="1"/>
    <col min="12057" max="12286" width="9.140625" style="1"/>
    <col min="12287" max="12287" width="31.5703125" style="1" bestFit="1" customWidth="1"/>
    <col min="12288" max="12288" width="15.28515625" style="1" bestFit="1" customWidth="1"/>
    <col min="12289" max="12291" width="15.28515625" style="1" customWidth="1"/>
    <col min="12292" max="12292" width="16" style="1" bestFit="1" customWidth="1"/>
    <col min="12293" max="12295" width="16.140625" style="1" customWidth="1"/>
    <col min="12296" max="12296" width="16.28515625" style="1" customWidth="1"/>
    <col min="12297" max="12297" width="14.7109375" style="1" bestFit="1" customWidth="1"/>
    <col min="12298" max="12298" width="15" style="1" bestFit="1" customWidth="1"/>
    <col min="12299" max="12299" width="16.85546875" style="1" customWidth="1"/>
    <col min="12300" max="12300" width="16" style="1" bestFit="1" customWidth="1"/>
    <col min="12301" max="12301" width="16.28515625" style="1" customWidth="1"/>
    <col min="12302" max="12302" width="15.28515625" style="1" bestFit="1" customWidth="1"/>
    <col min="12303" max="12303" width="10.28515625" style="1" bestFit="1" customWidth="1"/>
    <col min="12304" max="12304" width="18.5703125" style="1" bestFit="1" customWidth="1"/>
    <col min="12305" max="12305" width="14" style="1" bestFit="1" customWidth="1"/>
    <col min="12306" max="12306" width="11.85546875" style="1" bestFit="1" customWidth="1"/>
    <col min="12307" max="12307" width="25.85546875" style="1" bestFit="1" customWidth="1"/>
    <col min="12308" max="12308" width="17" style="1" bestFit="1" customWidth="1"/>
    <col min="12309" max="12309" width="12.42578125" style="1" bestFit="1" customWidth="1"/>
    <col min="12310" max="12310" width="16" style="1" bestFit="1" customWidth="1"/>
    <col min="12311" max="12311" width="10.42578125" style="1" bestFit="1" customWidth="1"/>
    <col min="12312" max="12312" width="27.5703125" style="1" bestFit="1" customWidth="1"/>
    <col min="12313" max="12542" width="9.140625" style="1"/>
    <col min="12543" max="12543" width="31.5703125" style="1" bestFit="1" customWidth="1"/>
    <col min="12544" max="12544" width="15.28515625" style="1" bestFit="1" customWidth="1"/>
    <col min="12545" max="12547" width="15.28515625" style="1" customWidth="1"/>
    <col min="12548" max="12548" width="16" style="1" bestFit="1" customWidth="1"/>
    <col min="12549" max="12551" width="16.140625" style="1" customWidth="1"/>
    <col min="12552" max="12552" width="16.28515625" style="1" customWidth="1"/>
    <col min="12553" max="12553" width="14.7109375" style="1" bestFit="1" customWidth="1"/>
    <col min="12554" max="12554" width="15" style="1" bestFit="1" customWidth="1"/>
    <col min="12555" max="12555" width="16.85546875" style="1" customWidth="1"/>
    <col min="12556" max="12556" width="16" style="1" bestFit="1" customWidth="1"/>
    <col min="12557" max="12557" width="16.28515625" style="1" customWidth="1"/>
    <col min="12558" max="12558" width="15.28515625" style="1" bestFit="1" customWidth="1"/>
    <col min="12559" max="12559" width="10.28515625" style="1" bestFit="1" customWidth="1"/>
    <col min="12560" max="12560" width="18.5703125" style="1" bestFit="1" customWidth="1"/>
    <col min="12561" max="12561" width="14" style="1" bestFit="1" customWidth="1"/>
    <col min="12562" max="12562" width="11.85546875" style="1" bestFit="1" customWidth="1"/>
    <col min="12563" max="12563" width="25.85546875" style="1" bestFit="1" customWidth="1"/>
    <col min="12564" max="12564" width="17" style="1" bestFit="1" customWidth="1"/>
    <col min="12565" max="12565" width="12.42578125" style="1" bestFit="1" customWidth="1"/>
    <col min="12566" max="12566" width="16" style="1" bestFit="1" customWidth="1"/>
    <col min="12567" max="12567" width="10.42578125" style="1" bestFit="1" customWidth="1"/>
    <col min="12568" max="12568" width="27.5703125" style="1" bestFit="1" customWidth="1"/>
    <col min="12569" max="12798" width="9.140625" style="1"/>
    <col min="12799" max="12799" width="31.5703125" style="1" bestFit="1" customWidth="1"/>
    <col min="12800" max="12800" width="15.28515625" style="1" bestFit="1" customWidth="1"/>
    <col min="12801" max="12803" width="15.28515625" style="1" customWidth="1"/>
    <col min="12804" max="12804" width="16" style="1" bestFit="1" customWidth="1"/>
    <col min="12805" max="12807" width="16.140625" style="1" customWidth="1"/>
    <col min="12808" max="12808" width="16.28515625" style="1" customWidth="1"/>
    <col min="12809" max="12809" width="14.7109375" style="1" bestFit="1" customWidth="1"/>
    <col min="12810" max="12810" width="15" style="1" bestFit="1" customWidth="1"/>
    <col min="12811" max="12811" width="16.85546875" style="1" customWidth="1"/>
    <col min="12812" max="12812" width="16" style="1" bestFit="1" customWidth="1"/>
    <col min="12813" max="12813" width="16.28515625" style="1" customWidth="1"/>
    <col min="12814" max="12814" width="15.28515625" style="1" bestFit="1" customWidth="1"/>
    <col min="12815" max="12815" width="10.28515625" style="1" bestFit="1" customWidth="1"/>
    <col min="12816" max="12816" width="18.5703125" style="1" bestFit="1" customWidth="1"/>
    <col min="12817" max="12817" width="14" style="1" bestFit="1" customWidth="1"/>
    <col min="12818" max="12818" width="11.85546875" style="1" bestFit="1" customWidth="1"/>
    <col min="12819" max="12819" width="25.85546875" style="1" bestFit="1" customWidth="1"/>
    <col min="12820" max="12820" width="17" style="1" bestFit="1" customWidth="1"/>
    <col min="12821" max="12821" width="12.42578125" style="1" bestFit="1" customWidth="1"/>
    <col min="12822" max="12822" width="16" style="1" bestFit="1" customWidth="1"/>
    <col min="12823" max="12823" width="10.42578125" style="1" bestFit="1" customWidth="1"/>
    <col min="12824" max="12824" width="27.5703125" style="1" bestFit="1" customWidth="1"/>
    <col min="12825" max="13054" width="9.140625" style="1"/>
    <col min="13055" max="13055" width="31.5703125" style="1" bestFit="1" customWidth="1"/>
    <col min="13056" max="13056" width="15.28515625" style="1" bestFit="1" customWidth="1"/>
    <col min="13057" max="13059" width="15.28515625" style="1" customWidth="1"/>
    <col min="13060" max="13060" width="16" style="1" bestFit="1" customWidth="1"/>
    <col min="13061" max="13063" width="16.140625" style="1" customWidth="1"/>
    <col min="13064" max="13064" width="16.28515625" style="1" customWidth="1"/>
    <col min="13065" max="13065" width="14.7109375" style="1" bestFit="1" customWidth="1"/>
    <col min="13066" max="13066" width="15" style="1" bestFit="1" customWidth="1"/>
    <col min="13067" max="13067" width="16.85546875" style="1" customWidth="1"/>
    <col min="13068" max="13068" width="16" style="1" bestFit="1" customWidth="1"/>
    <col min="13069" max="13069" width="16.28515625" style="1" customWidth="1"/>
    <col min="13070" max="13070" width="15.28515625" style="1" bestFit="1" customWidth="1"/>
    <col min="13071" max="13071" width="10.28515625" style="1" bestFit="1" customWidth="1"/>
    <col min="13072" max="13072" width="18.5703125" style="1" bestFit="1" customWidth="1"/>
    <col min="13073" max="13073" width="14" style="1" bestFit="1" customWidth="1"/>
    <col min="13074" max="13074" width="11.85546875" style="1" bestFit="1" customWidth="1"/>
    <col min="13075" max="13075" width="25.85546875" style="1" bestFit="1" customWidth="1"/>
    <col min="13076" max="13076" width="17" style="1" bestFit="1" customWidth="1"/>
    <col min="13077" max="13077" width="12.42578125" style="1" bestFit="1" customWidth="1"/>
    <col min="13078" max="13078" width="16" style="1" bestFit="1" customWidth="1"/>
    <col min="13079" max="13079" width="10.42578125" style="1" bestFit="1" customWidth="1"/>
    <col min="13080" max="13080" width="27.5703125" style="1" bestFit="1" customWidth="1"/>
    <col min="13081" max="13310" width="9.140625" style="1"/>
    <col min="13311" max="13311" width="31.5703125" style="1" bestFit="1" customWidth="1"/>
    <col min="13312" max="13312" width="15.28515625" style="1" bestFit="1" customWidth="1"/>
    <col min="13313" max="13315" width="15.28515625" style="1" customWidth="1"/>
    <col min="13316" max="13316" width="16" style="1" bestFit="1" customWidth="1"/>
    <col min="13317" max="13319" width="16.140625" style="1" customWidth="1"/>
    <col min="13320" max="13320" width="16.28515625" style="1" customWidth="1"/>
    <col min="13321" max="13321" width="14.7109375" style="1" bestFit="1" customWidth="1"/>
    <col min="13322" max="13322" width="15" style="1" bestFit="1" customWidth="1"/>
    <col min="13323" max="13323" width="16.85546875" style="1" customWidth="1"/>
    <col min="13324" max="13324" width="16" style="1" bestFit="1" customWidth="1"/>
    <col min="13325" max="13325" width="16.28515625" style="1" customWidth="1"/>
    <col min="13326" max="13326" width="15.28515625" style="1" bestFit="1" customWidth="1"/>
    <col min="13327" max="13327" width="10.28515625" style="1" bestFit="1" customWidth="1"/>
    <col min="13328" max="13328" width="18.5703125" style="1" bestFit="1" customWidth="1"/>
    <col min="13329" max="13329" width="14" style="1" bestFit="1" customWidth="1"/>
    <col min="13330" max="13330" width="11.85546875" style="1" bestFit="1" customWidth="1"/>
    <col min="13331" max="13331" width="25.85546875" style="1" bestFit="1" customWidth="1"/>
    <col min="13332" max="13332" width="17" style="1" bestFit="1" customWidth="1"/>
    <col min="13333" max="13333" width="12.42578125" style="1" bestFit="1" customWidth="1"/>
    <col min="13334" max="13334" width="16" style="1" bestFit="1" customWidth="1"/>
    <col min="13335" max="13335" width="10.42578125" style="1" bestFit="1" customWidth="1"/>
    <col min="13336" max="13336" width="27.5703125" style="1" bestFit="1" customWidth="1"/>
    <col min="13337" max="13566" width="9.140625" style="1"/>
    <col min="13567" max="13567" width="31.5703125" style="1" bestFit="1" customWidth="1"/>
    <col min="13568" max="13568" width="15.28515625" style="1" bestFit="1" customWidth="1"/>
    <col min="13569" max="13571" width="15.28515625" style="1" customWidth="1"/>
    <col min="13572" max="13572" width="16" style="1" bestFit="1" customWidth="1"/>
    <col min="13573" max="13575" width="16.140625" style="1" customWidth="1"/>
    <col min="13576" max="13576" width="16.28515625" style="1" customWidth="1"/>
    <col min="13577" max="13577" width="14.7109375" style="1" bestFit="1" customWidth="1"/>
    <col min="13578" max="13578" width="15" style="1" bestFit="1" customWidth="1"/>
    <col min="13579" max="13579" width="16.85546875" style="1" customWidth="1"/>
    <col min="13580" max="13580" width="16" style="1" bestFit="1" customWidth="1"/>
    <col min="13581" max="13581" width="16.28515625" style="1" customWidth="1"/>
    <col min="13582" max="13582" width="15.28515625" style="1" bestFit="1" customWidth="1"/>
    <col min="13583" max="13583" width="10.28515625" style="1" bestFit="1" customWidth="1"/>
    <col min="13584" max="13584" width="18.5703125" style="1" bestFit="1" customWidth="1"/>
    <col min="13585" max="13585" width="14" style="1" bestFit="1" customWidth="1"/>
    <col min="13586" max="13586" width="11.85546875" style="1" bestFit="1" customWidth="1"/>
    <col min="13587" max="13587" width="25.85546875" style="1" bestFit="1" customWidth="1"/>
    <col min="13588" max="13588" width="17" style="1" bestFit="1" customWidth="1"/>
    <col min="13589" max="13589" width="12.42578125" style="1" bestFit="1" customWidth="1"/>
    <col min="13590" max="13590" width="16" style="1" bestFit="1" customWidth="1"/>
    <col min="13591" max="13591" width="10.42578125" style="1" bestFit="1" customWidth="1"/>
    <col min="13592" max="13592" width="27.5703125" style="1" bestFit="1" customWidth="1"/>
    <col min="13593" max="13822" width="9.140625" style="1"/>
    <col min="13823" max="13823" width="31.5703125" style="1" bestFit="1" customWidth="1"/>
    <col min="13824" max="13824" width="15.28515625" style="1" bestFit="1" customWidth="1"/>
    <col min="13825" max="13827" width="15.28515625" style="1" customWidth="1"/>
    <col min="13828" max="13828" width="16" style="1" bestFit="1" customWidth="1"/>
    <col min="13829" max="13831" width="16.140625" style="1" customWidth="1"/>
    <col min="13832" max="13832" width="16.28515625" style="1" customWidth="1"/>
    <col min="13833" max="13833" width="14.7109375" style="1" bestFit="1" customWidth="1"/>
    <col min="13834" max="13834" width="15" style="1" bestFit="1" customWidth="1"/>
    <col min="13835" max="13835" width="16.85546875" style="1" customWidth="1"/>
    <col min="13836" max="13836" width="16" style="1" bestFit="1" customWidth="1"/>
    <col min="13837" max="13837" width="16.28515625" style="1" customWidth="1"/>
    <col min="13838" max="13838" width="15.28515625" style="1" bestFit="1" customWidth="1"/>
    <col min="13839" max="13839" width="10.28515625" style="1" bestFit="1" customWidth="1"/>
    <col min="13840" max="13840" width="18.5703125" style="1" bestFit="1" customWidth="1"/>
    <col min="13841" max="13841" width="14" style="1" bestFit="1" customWidth="1"/>
    <col min="13842" max="13842" width="11.85546875" style="1" bestFit="1" customWidth="1"/>
    <col min="13843" max="13843" width="25.85546875" style="1" bestFit="1" customWidth="1"/>
    <col min="13844" max="13844" width="17" style="1" bestFit="1" customWidth="1"/>
    <col min="13845" max="13845" width="12.42578125" style="1" bestFit="1" customWidth="1"/>
    <col min="13846" max="13846" width="16" style="1" bestFit="1" customWidth="1"/>
    <col min="13847" max="13847" width="10.42578125" style="1" bestFit="1" customWidth="1"/>
    <col min="13848" max="13848" width="27.5703125" style="1" bestFit="1" customWidth="1"/>
    <col min="13849" max="14078" width="9.140625" style="1"/>
    <col min="14079" max="14079" width="31.5703125" style="1" bestFit="1" customWidth="1"/>
    <col min="14080" max="14080" width="15.28515625" style="1" bestFit="1" customWidth="1"/>
    <col min="14081" max="14083" width="15.28515625" style="1" customWidth="1"/>
    <col min="14084" max="14084" width="16" style="1" bestFit="1" customWidth="1"/>
    <col min="14085" max="14087" width="16.140625" style="1" customWidth="1"/>
    <col min="14088" max="14088" width="16.28515625" style="1" customWidth="1"/>
    <col min="14089" max="14089" width="14.7109375" style="1" bestFit="1" customWidth="1"/>
    <col min="14090" max="14090" width="15" style="1" bestFit="1" customWidth="1"/>
    <col min="14091" max="14091" width="16.85546875" style="1" customWidth="1"/>
    <col min="14092" max="14092" width="16" style="1" bestFit="1" customWidth="1"/>
    <col min="14093" max="14093" width="16.28515625" style="1" customWidth="1"/>
    <col min="14094" max="14094" width="15.28515625" style="1" bestFit="1" customWidth="1"/>
    <col min="14095" max="14095" width="10.28515625" style="1" bestFit="1" customWidth="1"/>
    <col min="14096" max="14096" width="18.5703125" style="1" bestFit="1" customWidth="1"/>
    <col min="14097" max="14097" width="14" style="1" bestFit="1" customWidth="1"/>
    <col min="14098" max="14098" width="11.85546875" style="1" bestFit="1" customWidth="1"/>
    <col min="14099" max="14099" width="25.85546875" style="1" bestFit="1" customWidth="1"/>
    <col min="14100" max="14100" width="17" style="1" bestFit="1" customWidth="1"/>
    <col min="14101" max="14101" width="12.42578125" style="1" bestFit="1" customWidth="1"/>
    <col min="14102" max="14102" width="16" style="1" bestFit="1" customWidth="1"/>
    <col min="14103" max="14103" width="10.42578125" style="1" bestFit="1" customWidth="1"/>
    <col min="14104" max="14104" width="27.5703125" style="1" bestFit="1" customWidth="1"/>
    <col min="14105" max="14334" width="9.140625" style="1"/>
    <col min="14335" max="14335" width="31.5703125" style="1" bestFit="1" customWidth="1"/>
    <col min="14336" max="14336" width="15.28515625" style="1" bestFit="1" customWidth="1"/>
    <col min="14337" max="14339" width="15.28515625" style="1" customWidth="1"/>
    <col min="14340" max="14340" width="16" style="1" bestFit="1" customWidth="1"/>
    <col min="14341" max="14343" width="16.140625" style="1" customWidth="1"/>
    <col min="14344" max="14344" width="16.28515625" style="1" customWidth="1"/>
    <col min="14345" max="14345" width="14.7109375" style="1" bestFit="1" customWidth="1"/>
    <col min="14346" max="14346" width="15" style="1" bestFit="1" customWidth="1"/>
    <col min="14347" max="14347" width="16.85546875" style="1" customWidth="1"/>
    <col min="14348" max="14348" width="16" style="1" bestFit="1" customWidth="1"/>
    <col min="14349" max="14349" width="16.28515625" style="1" customWidth="1"/>
    <col min="14350" max="14350" width="15.28515625" style="1" bestFit="1" customWidth="1"/>
    <col min="14351" max="14351" width="10.28515625" style="1" bestFit="1" customWidth="1"/>
    <col min="14352" max="14352" width="18.5703125" style="1" bestFit="1" customWidth="1"/>
    <col min="14353" max="14353" width="14" style="1" bestFit="1" customWidth="1"/>
    <col min="14354" max="14354" width="11.85546875" style="1" bestFit="1" customWidth="1"/>
    <col min="14355" max="14355" width="25.85546875" style="1" bestFit="1" customWidth="1"/>
    <col min="14356" max="14356" width="17" style="1" bestFit="1" customWidth="1"/>
    <col min="14357" max="14357" width="12.42578125" style="1" bestFit="1" customWidth="1"/>
    <col min="14358" max="14358" width="16" style="1" bestFit="1" customWidth="1"/>
    <col min="14359" max="14359" width="10.42578125" style="1" bestFit="1" customWidth="1"/>
    <col min="14360" max="14360" width="27.5703125" style="1" bestFit="1" customWidth="1"/>
    <col min="14361" max="14590" width="9.140625" style="1"/>
    <col min="14591" max="14591" width="31.5703125" style="1" bestFit="1" customWidth="1"/>
    <col min="14592" max="14592" width="15.28515625" style="1" bestFit="1" customWidth="1"/>
    <col min="14593" max="14595" width="15.28515625" style="1" customWidth="1"/>
    <col min="14596" max="14596" width="16" style="1" bestFit="1" customWidth="1"/>
    <col min="14597" max="14599" width="16.140625" style="1" customWidth="1"/>
    <col min="14600" max="14600" width="16.28515625" style="1" customWidth="1"/>
    <col min="14601" max="14601" width="14.7109375" style="1" bestFit="1" customWidth="1"/>
    <col min="14602" max="14602" width="15" style="1" bestFit="1" customWidth="1"/>
    <col min="14603" max="14603" width="16.85546875" style="1" customWidth="1"/>
    <col min="14604" max="14604" width="16" style="1" bestFit="1" customWidth="1"/>
    <col min="14605" max="14605" width="16.28515625" style="1" customWidth="1"/>
    <col min="14606" max="14606" width="15.28515625" style="1" bestFit="1" customWidth="1"/>
    <col min="14607" max="14607" width="10.28515625" style="1" bestFit="1" customWidth="1"/>
    <col min="14608" max="14608" width="18.5703125" style="1" bestFit="1" customWidth="1"/>
    <col min="14609" max="14609" width="14" style="1" bestFit="1" customWidth="1"/>
    <col min="14610" max="14610" width="11.85546875" style="1" bestFit="1" customWidth="1"/>
    <col min="14611" max="14611" width="25.85546875" style="1" bestFit="1" customWidth="1"/>
    <col min="14612" max="14612" width="17" style="1" bestFit="1" customWidth="1"/>
    <col min="14613" max="14613" width="12.42578125" style="1" bestFit="1" customWidth="1"/>
    <col min="14614" max="14614" width="16" style="1" bestFit="1" customWidth="1"/>
    <col min="14615" max="14615" width="10.42578125" style="1" bestFit="1" customWidth="1"/>
    <col min="14616" max="14616" width="27.5703125" style="1" bestFit="1" customWidth="1"/>
    <col min="14617" max="14846" width="9.140625" style="1"/>
    <col min="14847" max="14847" width="31.5703125" style="1" bestFit="1" customWidth="1"/>
    <col min="14848" max="14848" width="15.28515625" style="1" bestFit="1" customWidth="1"/>
    <col min="14849" max="14851" width="15.28515625" style="1" customWidth="1"/>
    <col min="14852" max="14852" width="16" style="1" bestFit="1" customWidth="1"/>
    <col min="14853" max="14855" width="16.140625" style="1" customWidth="1"/>
    <col min="14856" max="14856" width="16.28515625" style="1" customWidth="1"/>
    <col min="14857" max="14857" width="14.7109375" style="1" bestFit="1" customWidth="1"/>
    <col min="14858" max="14858" width="15" style="1" bestFit="1" customWidth="1"/>
    <col min="14859" max="14859" width="16.85546875" style="1" customWidth="1"/>
    <col min="14860" max="14860" width="16" style="1" bestFit="1" customWidth="1"/>
    <col min="14861" max="14861" width="16.28515625" style="1" customWidth="1"/>
    <col min="14862" max="14862" width="15.28515625" style="1" bestFit="1" customWidth="1"/>
    <col min="14863" max="14863" width="10.28515625" style="1" bestFit="1" customWidth="1"/>
    <col min="14864" max="14864" width="18.5703125" style="1" bestFit="1" customWidth="1"/>
    <col min="14865" max="14865" width="14" style="1" bestFit="1" customWidth="1"/>
    <col min="14866" max="14866" width="11.85546875" style="1" bestFit="1" customWidth="1"/>
    <col min="14867" max="14867" width="25.85546875" style="1" bestFit="1" customWidth="1"/>
    <col min="14868" max="14868" width="17" style="1" bestFit="1" customWidth="1"/>
    <col min="14869" max="14869" width="12.42578125" style="1" bestFit="1" customWidth="1"/>
    <col min="14870" max="14870" width="16" style="1" bestFit="1" customWidth="1"/>
    <col min="14871" max="14871" width="10.42578125" style="1" bestFit="1" customWidth="1"/>
    <col min="14872" max="14872" width="27.5703125" style="1" bestFit="1" customWidth="1"/>
    <col min="14873" max="15102" width="9.140625" style="1"/>
    <col min="15103" max="15103" width="31.5703125" style="1" bestFit="1" customWidth="1"/>
    <col min="15104" max="15104" width="15.28515625" style="1" bestFit="1" customWidth="1"/>
    <col min="15105" max="15107" width="15.28515625" style="1" customWidth="1"/>
    <col min="15108" max="15108" width="16" style="1" bestFit="1" customWidth="1"/>
    <col min="15109" max="15111" width="16.140625" style="1" customWidth="1"/>
    <col min="15112" max="15112" width="16.28515625" style="1" customWidth="1"/>
    <col min="15113" max="15113" width="14.7109375" style="1" bestFit="1" customWidth="1"/>
    <col min="15114" max="15114" width="15" style="1" bestFit="1" customWidth="1"/>
    <col min="15115" max="15115" width="16.85546875" style="1" customWidth="1"/>
    <col min="15116" max="15116" width="16" style="1" bestFit="1" customWidth="1"/>
    <col min="15117" max="15117" width="16.28515625" style="1" customWidth="1"/>
    <col min="15118" max="15118" width="15.28515625" style="1" bestFit="1" customWidth="1"/>
    <col min="15119" max="15119" width="10.28515625" style="1" bestFit="1" customWidth="1"/>
    <col min="15120" max="15120" width="18.5703125" style="1" bestFit="1" customWidth="1"/>
    <col min="15121" max="15121" width="14" style="1" bestFit="1" customWidth="1"/>
    <col min="15122" max="15122" width="11.85546875" style="1" bestFit="1" customWidth="1"/>
    <col min="15123" max="15123" width="25.85546875" style="1" bestFit="1" customWidth="1"/>
    <col min="15124" max="15124" width="17" style="1" bestFit="1" customWidth="1"/>
    <col min="15125" max="15125" width="12.42578125" style="1" bestFit="1" customWidth="1"/>
    <col min="15126" max="15126" width="16" style="1" bestFit="1" customWidth="1"/>
    <col min="15127" max="15127" width="10.42578125" style="1" bestFit="1" customWidth="1"/>
    <col min="15128" max="15128" width="27.5703125" style="1" bestFit="1" customWidth="1"/>
    <col min="15129" max="15358" width="9.140625" style="1"/>
    <col min="15359" max="15359" width="31.5703125" style="1" bestFit="1" customWidth="1"/>
    <col min="15360" max="15360" width="15.28515625" style="1" bestFit="1" customWidth="1"/>
    <col min="15361" max="15363" width="15.28515625" style="1" customWidth="1"/>
    <col min="15364" max="15364" width="16" style="1" bestFit="1" customWidth="1"/>
    <col min="15365" max="15367" width="16.140625" style="1" customWidth="1"/>
    <col min="15368" max="15368" width="16.28515625" style="1" customWidth="1"/>
    <col min="15369" max="15369" width="14.7109375" style="1" bestFit="1" customWidth="1"/>
    <col min="15370" max="15370" width="15" style="1" bestFit="1" customWidth="1"/>
    <col min="15371" max="15371" width="16.85546875" style="1" customWidth="1"/>
    <col min="15372" max="15372" width="16" style="1" bestFit="1" customWidth="1"/>
    <col min="15373" max="15373" width="16.28515625" style="1" customWidth="1"/>
    <col min="15374" max="15374" width="15.28515625" style="1" bestFit="1" customWidth="1"/>
    <col min="15375" max="15375" width="10.28515625" style="1" bestFit="1" customWidth="1"/>
    <col min="15376" max="15376" width="18.5703125" style="1" bestFit="1" customWidth="1"/>
    <col min="15377" max="15377" width="14" style="1" bestFit="1" customWidth="1"/>
    <col min="15378" max="15378" width="11.85546875" style="1" bestFit="1" customWidth="1"/>
    <col min="15379" max="15379" width="25.85546875" style="1" bestFit="1" customWidth="1"/>
    <col min="15380" max="15380" width="17" style="1" bestFit="1" customWidth="1"/>
    <col min="15381" max="15381" width="12.42578125" style="1" bestFit="1" customWidth="1"/>
    <col min="15382" max="15382" width="16" style="1" bestFit="1" customWidth="1"/>
    <col min="15383" max="15383" width="10.42578125" style="1" bestFit="1" customWidth="1"/>
    <col min="15384" max="15384" width="27.5703125" style="1" bestFit="1" customWidth="1"/>
    <col min="15385" max="15614" width="9.140625" style="1"/>
    <col min="15615" max="15615" width="31.5703125" style="1" bestFit="1" customWidth="1"/>
    <col min="15616" max="15616" width="15.28515625" style="1" bestFit="1" customWidth="1"/>
    <col min="15617" max="15619" width="15.28515625" style="1" customWidth="1"/>
    <col min="15620" max="15620" width="16" style="1" bestFit="1" customWidth="1"/>
    <col min="15621" max="15623" width="16.140625" style="1" customWidth="1"/>
    <col min="15624" max="15624" width="16.28515625" style="1" customWidth="1"/>
    <col min="15625" max="15625" width="14.7109375" style="1" bestFit="1" customWidth="1"/>
    <col min="15626" max="15626" width="15" style="1" bestFit="1" customWidth="1"/>
    <col min="15627" max="15627" width="16.85546875" style="1" customWidth="1"/>
    <col min="15628" max="15628" width="16" style="1" bestFit="1" customWidth="1"/>
    <col min="15629" max="15629" width="16.28515625" style="1" customWidth="1"/>
    <col min="15630" max="15630" width="15.28515625" style="1" bestFit="1" customWidth="1"/>
    <col min="15631" max="15631" width="10.28515625" style="1" bestFit="1" customWidth="1"/>
    <col min="15632" max="15632" width="18.5703125" style="1" bestFit="1" customWidth="1"/>
    <col min="15633" max="15633" width="14" style="1" bestFit="1" customWidth="1"/>
    <col min="15634" max="15634" width="11.85546875" style="1" bestFit="1" customWidth="1"/>
    <col min="15635" max="15635" width="25.85546875" style="1" bestFit="1" customWidth="1"/>
    <col min="15636" max="15636" width="17" style="1" bestFit="1" customWidth="1"/>
    <col min="15637" max="15637" width="12.42578125" style="1" bestFit="1" customWidth="1"/>
    <col min="15638" max="15638" width="16" style="1" bestFit="1" customWidth="1"/>
    <col min="15639" max="15639" width="10.42578125" style="1" bestFit="1" customWidth="1"/>
    <col min="15640" max="15640" width="27.5703125" style="1" bestFit="1" customWidth="1"/>
    <col min="15641" max="15870" width="9.140625" style="1"/>
    <col min="15871" max="15871" width="31.5703125" style="1" bestFit="1" customWidth="1"/>
    <col min="15872" max="15872" width="15.28515625" style="1" bestFit="1" customWidth="1"/>
    <col min="15873" max="15875" width="15.28515625" style="1" customWidth="1"/>
    <col min="15876" max="15876" width="16" style="1" bestFit="1" customWidth="1"/>
    <col min="15877" max="15879" width="16.140625" style="1" customWidth="1"/>
    <col min="15880" max="15880" width="16.28515625" style="1" customWidth="1"/>
    <col min="15881" max="15881" width="14.7109375" style="1" bestFit="1" customWidth="1"/>
    <col min="15882" max="15882" width="15" style="1" bestFit="1" customWidth="1"/>
    <col min="15883" max="15883" width="16.85546875" style="1" customWidth="1"/>
    <col min="15884" max="15884" width="16" style="1" bestFit="1" customWidth="1"/>
    <col min="15885" max="15885" width="16.28515625" style="1" customWidth="1"/>
    <col min="15886" max="15886" width="15.28515625" style="1" bestFit="1" customWidth="1"/>
    <col min="15887" max="15887" width="10.28515625" style="1" bestFit="1" customWidth="1"/>
    <col min="15888" max="15888" width="18.5703125" style="1" bestFit="1" customWidth="1"/>
    <col min="15889" max="15889" width="14" style="1" bestFit="1" customWidth="1"/>
    <col min="15890" max="15890" width="11.85546875" style="1" bestFit="1" customWidth="1"/>
    <col min="15891" max="15891" width="25.85546875" style="1" bestFit="1" customWidth="1"/>
    <col min="15892" max="15892" width="17" style="1" bestFit="1" customWidth="1"/>
    <col min="15893" max="15893" width="12.42578125" style="1" bestFit="1" customWidth="1"/>
    <col min="15894" max="15894" width="16" style="1" bestFit="1" customWidth="1"/>
    <col min="15895" max="15895" width="10.42578125" style="1" bestFit="1" customWidth="1"/>
    <col min="15896" max="15896" width="27.5703125" style="1" bestFit="1" customWidth="1"/>
    <col min="15897" max="16126" width="9.140625" style="1"/>
    <col min="16127" max="16127" width="31.5703125" style="1" bestFit="1" customWidth="1"/>
    <col min="16128" max="16128" width="15.28515625" style="1" bestFit="1" customWidth="1"/>
    <col min="16129" max="16131" width="15.28515625" style="1" customWidth="1"/>
    <col min="16132" max="16132" width="16" style="1" bestFit="1" customWidth="1"/>
    <col min="16133" max="16135" width="16.140625" style="1" customWidth="1"/>
    <col min="16136" max="16136" width="16.28515625" style="1" customWidth="1"/>
    <col min="16137" max="16137" width="14.7109375" style="1" bestFit="1" customWidth="1"/>
    <col min="16138" max="16138" width="15" style="1" bestFit="1" customWidth="1"/>
    <col min="16139" max="16139" width="16.85546875" style="1" customWidth="1"/>
    <col min="16140" max="16140" width="16" style="1" bestFit="1" customWidth="1"/>
    <col min="16141" max="16141" width="16.28515625" style="1" customWidth="1"/>
    <col min="16142" max="16142" width="15.28515625" style="1" bestFit="1" customWidth="1"/>
    <col min="16143" max="16143" width="10.28515625" style="1" bestFit="1" customWidth="1"/>
    <col min="16144" max="16144" width="18.5703125" style="1" bestFit="1" customWidth="1"/>
    <col min="16145" max="16145" width="14" style="1" bestFit="1" customWidth="1"/>
    <col min="16146" max="16146" width="11.85546875" style="1" bestFit="1" customWidth="1"/>
    <col min="16147" max="16147" width="25.85546875" style="1" bestFit="1" customWidth="1"/>
    <col min="16148" max="16148" width="17" style="1" bestFit="1" customWidth="1"/>
    <col min="16149" max="16149" width="12.42578125" style="1" bestFit="1" customWidth="1"/>
    <col min="16150" max="16150" width="16" style="1" bestFit="1" customWidth="1"/>
    <col min="16151" max="16151" width="10.42578125" style="1" bestFit="1" customWidth="1"/>
    <col min="16152" max="16152" width="27.5703125" style="1" bestFit="1" customWidth="1"/>
    <col min="16153" max="16384" width="9.140625" style="1"/>
  </cols>
  <sheetData>
    <row r="3" spans="2:19" s="3" customFormat="1" ht="63" x14ac:dyDescent="0.25">
      <c r="C3" s="3" t="s">
        <v>2</v>
      </c>
      <c r="D3" s="70" t="s">
        <v>142</v>
      </c>
      <c r="E3" s="71" t="s">
        <v>143</v>
      </c>
      <c r="F3" s="71" t="s">
        <v>144</v>
      </c>
      <c r="G3" s="71" t="s">
        <v>145</v>
      </c>
      <c r="H3" s="70" t="s">
        <v>146</v>
      </c>
      <c r="I3" s="70" t="s">
        <v>9</v>
      </c>
      <c r="J3" s="70" t="s">
        <v>147</v>
      </c>
      <c r="K3" s="70" t="s">
        <v>10</v>
      </c>
      <c r="L3" s="70" t="s">
        <v>148</v>
      </c>
      <c r="M3" s="70" t="s">
        <v>149</v>
      </c>
    </row>
    <row r="4" spans="2:19" x14ac:dyDescent="0.2">
      <c r="B4" s="1" t="s">
        <v>12</v>
      </c>
      <c r="D4" s="72">
        <f>'MD Fees CHIR'!B9*1000</f>
        <v>59570280</v>
      </c>
      <c r="E4" s="72">
        <f>+F41</f>
        <v>3373837.8562899609</v>
      </c>
      <c r="F4" s="72">
        <f>+G41</f>
        <v>1917716.2109863556</v>
      </c>
      <c r="G4" s="72">
        <f>+H41</f>
        <v>49607.932723683283</v>
      </c>
      <c r="H4" s="8">
        <v>0</v>
      </c>
      <c r="I4" s="72">
        <f>'MD Fees CHIR'!B12*1000</f>
        <v>1610532</v>
      </c>
      <c r="J4" s="72">
        <f>'MD Fees CHIR'!B13*1000</f>
        <v>791220</v>
      </c>
      <c r="K4" s="72">
        <f>'MD Fees CHIR'!B14*1000</f>
        <v>18702687</v>
      </c>
      <c r="L4" s="72">
        <f>'MD Fees CHIR'!B15*1000</f>
        <v>48807776</v>
      </c>
      <c r="M4" s="8">
        <f>SUM(D4:L4)</f>
        <v>134823657</v>
      </c>
    </row>
    <row r="5" spans="2:19" x14ac:dyDescent="0.2">
      <c r="B5" s="1" t="s">
        <v>13</v>
      </c>
      <c r="D5" s="4">
        <f>+C11+C16+C20+C24</f>
        <v>24013709.052999999</v>
      </c>
      <c r="E5" s="72">
        <f>+C11+C16+C20</f>
        <v>22964548.509999998</v>
      </c>
      <c r="F5" s="72">
        <f>0.01*C11+0.01*C16+0.01*C20+C12+C13+C17+C18+C21+C14</f>
        <v>5710323.0597000001</v>
      </c>
      <c r="G5" s="72">
        <f>+C12+C13+C17+C18+C21+C14</f>
        <v>5480677.5745999999</v>
      </c>
      <c r="H5" s="4">
        <v>0</v>
      </c>
      <c r="I5" s="8">
        <f>+C23</f>
        <v>28445226.084600002</v>
      </c>
      <c r="J5" s="8">
        <f>+C28</f>
        <v>31913676.704600003</v>
      </c>
      <c r="K5" s="8">
        <f>SUM(C12:C14,C17:C18,C21,C25:C26)</f>
        <v>7899967.6515999995</v>
      </c>
      <c r="L5" s="8">
        <f>SUM(C12:C14,C17:C18,C21,C25:C26)</f>
        <v>7899967.6515999995</v>
      </c>
      <c r="M5" s="8"/>
    </row>
    <row r="6" spans="2:19" x14ac:dyDescent="0.2">
      <c r="B6" s="4"/>
      <c r="D6" s="4">
        <f>SUM(D11:D13,D16:D18,D20:D21,D24:D26)</f>
        <v>59570280.000000007</v>
      </c>
      <c r="E6" s="73">
        <f>SUM(E11:E13,E16:E18,E20:E21,E24:E26)</f>
        <v>3373837.8562899609</v>
      </c>
      <c r="F6" s="73">
        <f>SUM(F11:F14,F16:F18,F20:F21,F24:F26)</f>
        <v>1917716.2109863556</v>
      </c>
      <c r="G6" s="73">
        <f>SUM(G11:G14,G16:G18,G20:G21,G24:G26)</f>
        <v>49607.932723683291</v>
      </c>
      <c r="H6" s="4">
        <v>0</v>
      </c>
      <c r="I6" s="4">
        <f>SUM(I11:I14,I16:I18,I20:I21,I24:I26)</f>
        <v>1610532</v>
      </c>
      <c r="J6" s="4">
        <f>SUM(J11:J14,J16:J18,J20:J21,J24:J26)</f>
        <v>791219.99999999988</v>
      </c>
      <c r="K6" s="4">
        <f>SUM(K11:K14,K16:K18,K20:K21,K24:K26)</f>
        <v>18702687</v>
      </c>
      <c r="L6" s="4">
        <f>SUM(L11:L14,L16:L18,L20:L21,L24:L26)</f>
        <v>48807776.000000007</v>
      </c>
      <c r="M6" s="4">
        <f>+M28</f>
        <v>134823657</v>
      </c>
    </row>
    <row r="7" spans="2:19" x14ac:dyDescent="0.2">
      <c r="D7" s="5" t="str">
        <f>IF(D6=D4, "Good","Error")</f>
        <v>Good</v>
      </c>
      <c r="E7" s="74" t="str">
        <f t="shared" ref="E7:M7" si="0">IF(E6=E4, "Good","Error")</f>
        <v>Good</v>
      </c>
      <c r="F7" s="74" t="str">
        <f>IF(F6=F4, "Good","Error")</f>
        <v>Good</v>
      </c>
      <c r="G7" s="74" t="str">
        <f>IF(G6=G4, "Good","Error")</f>
        <v>Good</v>
      </c>
      <c r="H7" s="5" t="str">
        <f t="shared" si="0"/>
        <v>Good</v>
      </c>
      <c r="I7" s="5" t="str">
        <f t="shared" si="0"/>
        <v>Good</v>
      </c>
      <c r="J7" s="5" t="str">
        <f t="shared" si="0"/>
        <v>Good</v>
      </c>
      <c r="K7" s="5" t="str">
        <f t="shared" si="0"/>
        <v>Good</v>
      </c>
      <c r="L7" s="5" t="str">
        <f t="shared" si="0"/>
        <v>Good</v>
      </c>
      <c r="M7" s="5" t="str">
        <f t="shared" si="0"/>
        <v>Good</v>
      </c>
    </row>
    <row r="8" spans="2:19" ht="15.75" thickBot="1" x14ac:dyDescent="0.25">
      <c r="D8" s="5"/>
      <c r="E8" s="74"/>
      <c r="F8" s="74"/>
      <c r="G8" s="74"/>
      <c r="H8" s="5"/>
      <c r="I8" s="5"/>
      <c r="J8" s="5"/>
      <c r="K8" s="5"/>
      <c r="L8" s="5"/>
      <c r="M8" s="5"/>
      <c r="P8" s="1" t="s">
        <v>239</v>
      </c>
    </row>
    <row r="9" spans="2:19" x14ac:dyDescent="0.2">
      <c r="D9" s="4"/>
      <c r="E9" s="72"/>
      <c r="F9" s="72"/>
      <c r="G9" s="72"/>
      <c r="I9" s="8"/>
      <c r="J9" s="8"/>
      <c r="K9" s="8"/>
      <c r="L9" s="8"/>
      <c r="M9" s="8"/>
      <c r="N9" s="237" t="s">
        <v>214</v>
      </c>
      <c r="O9" s="238"/>
      <c r="P9" s="1" t="s">
        <v>214</v>
      </c>
      <c r="S9" s="1" t="s">
        <v>242</v>
      </c>
    </row>
    <row r="10" spans="2:19" ht="15.75" x14ac:dyDescent="0.25">
      <c r="B10" s="6" t="s">
        <v>20</v>
      </c>
      <c r="C10" s="6"/>
      <c r="D10" s="4"/>
      <c r="H10" s="8"/>
      <c r="I10" s="8"/>
      <c r="J10" s="8"/>
      <c r="K10" s="8"/>
      <c r="L10" s="8"/>
      <c r="M10" s="8"/>
      <c r="N10" s="239"/>
      <c r="O10" s="240"/>
    </row>
    <row r="11" spans="2:19" ht="15.75" x14ac:dyDescent="0.25">
      <c r="B11" s="1" t="s">
        <v>21</v>
      </c>
      <c r="C11" s="75">
        <f>+'[3]PRC RPW'!$G$12</f>
        <v>21448767.243999999</v>
      </c>
      <c r="D11" s="4">
        <f>+C11/D5*D4</f>
        <v>53207485.256022371</v>
      </c>
      <c r="E11" s="72">
        <f>+$C11/E$5*E$4</f>
        <v>3151146.7716009235</v>
      </c>
      <c r="F11" s="72">
        <f>+$C11*0.01/F$5*F$4</f>
        <v>72032.086835473892</v>
      </c>
      <c r="G11" s="76" t="s">
        <v>150</v>
      </c>
      <c r="H11" s="77" t="s">
        <v>150</v>
      </c>
      <c r="I11" s="8">
        <f>+C11/I$5*I$4</f>
        <v>1214401.527492713</v>
      </c>
      <c r="J11" s="8">
        <f>+$C11/J$5*J$4</f>
        <v>531768.67635409557</v>
      </c>
      <c r="K11" s="77" t="s">
        <v>150</v>
      </c>
      <c r="L11" s="77" t="s">
        <v>150</v>
      </c>
      <c r="M11" s="225">
        <f>SUM(D11:L11)</f>
        <v>58176834.318305574</v>
      </c>
      <c r="N11" s="241" t="s">
        <v>206</v>
      </c>
      <c r="O11" s="242">
        <f>+M11+O43</f>
        <v>58584890.818305574</v>
      </c>
      <c r="P11" s="9">
        <f>+'MD Distribution CHIR Q7'!B9</f>
        <v>92362173.488054797</v>
      </c>
      <c r="Q11" s="266">
        <f>+P11/$P$20</f>
        <v>0.70216134401345254</v>
      </c>
      <c r="R11" s="9">
        <f>+Q11*-$P$36</f>
        <v>3113209.1008791286</v>
      </c>
      <c r="S11" s="9">
        <v>95475382.58893393</v>
      </c>
    </row>
    <row r="12" spans="2:19" ht="15.75" x14ac:dyDescent="0.25">
      <c r="B12" s="1" t="s">
        <v>22</v>
      </c>
      <c r="C12" s="75">
        <f>+'[3]Summary Category RPW Data'!$E$7/1000</f>
        <v>854239.28399999999</v>
      </c>
      <c r="D12" s="5" t="s">
        <v>150</v>
      </c>
      <c r="E12" s="78" t="s">
        <v>150</v>
      </c>
      <c r="F12" s="72">
        <f t="shared" ref="F12:G14" si="1">+$C12/F$5*F$4</f>
        <v>286881.93397489522</v>
      </c>
      <c r="G12" s="72">
        <f t="shared" si="1"/>
        <v>7732.0813628946626</v>
      </c>
      <c r="H12" s="77" t="s">
        <v>150</v>
      </c>
      <c r="I12" s="8">
        <f>+C12/I$5*I$4</f>
        <v>48365.92609414777</v>
      </c>
      <c r="J12" s="8">
        <f>+$C12/J$5*J$4</f>
        <v>21178.732007053819</v>
      </c>
      <c r="K12" s="8">
        <f t="shared" ref="K12:L14" si="2">+$C12/K$5*K$4</f>
        <v>2022358.9078267091</v>
      </c>
      <c r="L12" s="8">
        <f t="shared" si="2"/>
        <v>5277682.3225887632</v>
      </c>
      <c r="M12" s="225">
        <f>SUM(D12:L12)</f>
        <v>7664199.9038544632</v>
      </c>
      <c r="N12" s="241" t="s">
        <v>207</v>
      </c>
      <c r="O12" s="242">
        <f>+M24</f>
        <v>2628640.8069386287</v>
      </c>
      <c r="P12" s="9">
        <f>+'MD Distribution CHIR Q7'!B22</f>
        <v>4338907.2409644164</v>
      </c>
      <c r="Q12" s="266">
        <f t="shared" ref="Q12:Q19" si="3">+P12/$P$20</f>
        <v>3.2985505048333391E-2</v>
      </c>
      <c r="R12" s="9">
        <f t="shared" ref="R12:R19" si="4">+Q12*-$P$36</f>
        <v>146249.54134700776</v>
      </c>
      <c r="S12" s="9">
        <v>4485156.7823114246</v>
      </c>
    </row>
    <row r="13" spans="2:19" ht="15.75" x14ac:dyDescent="0.25">
      <c r="B13" s="1" t="s">
        <v>23</v>
      </c>
      <c r="C13" s="75">
        <f>+'[3]Summary Category RPW Data'!$E$8/10000</f>
        <v>3787065.5126</v>
      </c>
      <c r="D13" s="5" t="s">
        <v>150</v>
      </c>
      <c r="E13" s="78" t="s">
        <v>150</v>
      </c>
      <c r="F13" s="72">
        <f t="shared" si="1"/>
        <v>1271822.4257458944</v>
      </c>
      <c r="G13" s="72">
        <f t="shared" si="1"/>
        <v>34278.333036760203</v>
      </c>
      <c r="H13" s="77" t="s">
        <v>150</v>
      </c>
      <c r="I13" s="8">
        <f>+C13/I$5*I$4</f>
        <v>214418.76313441401</v>
      </c>
      <c r="J13" s="8">
        <f>+$C13/J$5*J$4</f>
        <v>93890.841930083028</v>
      </c>
      <c r="K13" s="8">
        <f t="shared" si="2"/>
        <v>8965644.4246714506</v>
      </c>
      <c r="L13" s="8">
        <f t="shared" si="2"/>
        <v>23397342.038339898</v>
      </c>
      <c r="M13" s="225">
        <f>SUM(D13:L13)</f>
        <v>33977396.826858498</v>
      </c>
      <c r="N13" s="241" t="s">
        <v>22</v>
      </c>
      <c r="O13" s="242">
        <f>+M12+M13+O44</f>
        <v>41845624.980712965</v>
      </c>
      <c r="P13" s="9">
        <f>+'MD Distribution CHIR Q7'!B10+'MD Distribution CHIR Q7'!B11</f>
        <v>25825735.241844617</v>
      </c>
      <c r="Q13" s="266">
        <f t="shared" si="3"/>
        <v>0.19633397832386926</v>
      </c>
      <c r="R13" s="9">
        <f t="shared" si="4"/>
        <v>870496.12363446341</v>
      </c>
      <c r="S13" s="9">
        <v>26696231.365479082</v>
      </c>
    </row>
    <row r="14" spans="2:19" ht="15.75" x14ac:dyDescent="0.25">
      <c r="B14" s="1" t="s">
        <v>24</v>
      </c>
      <c r="C14" s="79">
        <f>+'[3]PRC RPW'!$G$23</f>
        <v>213535.35</v>
      </c>
      <c r="D14" s="4"/>
      <c r="E14" s="78" t="s">
        <v>150</v>
      </c>
      <c r="F14" s="72">
        <f t="shared" si="1"/>
        <v>71712.265318866033</v>
      </c>
      <c r="G14" s="72">
        <f t="shared" si="1"/>
        <v>1932.7988433439791</v>
      </c>
      <c r="H14" s="77" t="s">
        <v>150</v>
      </c>
      <c r="I14" s="8">
        <f>+C14/I$5*I$4</f>
        <v>12090.096007090184</v>
      </c>
      <c r="J14" s="8">
        <f>+$C14/J$5*J$4</f>
        <v>5294.0763043653706</v>
      </c>
      <c r="K14" s="8">
        <f t="shared" si="2"/>
        <v>505531.79337090068</v>
      </c>
      <c r="L14" s="8">
        <f t="shared" si="2"/>
        <v>1319269.3933083094</v>
      </c>
      <c r="M14" s="226">
        <f>SUM(D14:L14)</f>
        <v>1915830.4231528756</v>
      </c>
      <c r="N14" s="241" t="s">
        <v>35</v>
      </c>
      <c r="O14" s="242">
        <f>+M25+M26+O45</f>
        <v>20836432.616836924</v>
      </c>
      <c r="P14" s="9">
        <f>+'MD Distribution CHIR Q7'!B23+'MD Distribution CHIR Q7'!B24</f>
        <v>1398166.205975215</v>
      </c>
      <c r="Q14" s="266">
        <f t="shared" si="3"/>
        <v>1.0629224337912694E-2</v>
      </c>
      <c r="R14" s="9">
        <f t="shared" si="4"/>
        <v>47127.342207322865</v>
      </c>
      <c r="S14" s="9">
        <v>1445293.5481825378</v>
      </c>
    </row>
    <row r="15" spans="2:19" ht="15.75" x14ac:dyDescent="0.25">
      <c r="B15" s="6" t="s">
        <v>25</v>
      </c>
      <c r="C15" s="75">
        <f>SUM(C11:C14)</f>
        <v>26303607.3906</v>
      </c>
      <c r="D15" s="8"/>
      <c r="E15" s="72"/>
      <c r="F15" s="72"/>
      <c r="G15" s="72"/>
      <c r="H15" s="8"/>
      <c r="I15" s="8"/>
      <c r="J15" s="8"/>
      <c r="K15" s="8"/>
      <c r="L15" s="8"/>
      <c r="M15" s="227">
        <f>SUM(M11:M14)</f>
        <v>101734261.47217141</v>
      </c>
      <c r="N15" s="241" t="s">
        <v>208</v>
      </c>
      <c r="O15" s="242">
        <f>+M16+O46</f>
        <v>3542902.507164313</v>
      </c>
      <c r="P15" s="9">
        <f>+'MD Distribution CHIR Q7'!B14</f>
        <v>5462634.2689347137</v>
      </c>
      <c r="Q15" s="266">
        <f t="shared" si="3"/>
        <v>4.1528371142383384E-2</v>
      </c>
      <c r="R15" s="9">
        <f t="shared" si="4"/>
        <v>184126.48900062087</v>
      </c>
      <c r="S15" s="9">
        <v>5646760.7579353349</v>
      </c>
    </row>
    <row r="16" spans="2:19" ht="15.75" x14ac:dyDescent="0.25">
      <c r="B16" s="1" t="s">
        <v>26</v>
      </c>
      <c r="C16" s="81">
        <f>+'[3]Summary Category RPW Data'!$E$11/1000</f>
        <v>1268594.534</v>
      </c>
      <c r="D16" s="4">
        <f>+C16/D5*D4</f>
        <v>3146974.5648229467</v>
      </c>
      <c r="E16" s="72">
        <f>+$C16/E$5*E$4</f>
        <v>186375.63291209345</v>
      </c>
      <c r="F16" s="72">
        <f>+$C16*0.01/F$5*F$4</f>
        <v>4260.3619402722416</v>
      </c>
      <c r="G16" s="78" t="s">
        <v>150</v>
      </c>
      <c r="H16" s="77" t="s">
        <v>150</v>
      </c>
      <c r="I16" s="8">
        <f>+C16/I$5*I$4</f>
        <v>71826.185735194813</v>
      </c>
      <c r="J16" s="8">
        <f t="shared" ref="J16:L18" si="5">+$C16/J$5*J$4</f>
        <v>31451.636753806004</v>
      </c>
      <c r="K16" s="77" t="s">
        <v>150</v>
      </c>
      <c r="L16" s="77" t="s">
        <v>150</v>
      </c>
      <c r="M16" s="225">
        <f>SUM(D16:L16)</f>
        <v>3440888.382164313</v>
      </c>
      <c r="N16" s="241" t="s">
        <v>27</v>
      </c>
      <c r="O16" s="242">
        <f>+M17</f>
        <v>285527.24158354872</v>
      </c>
      <c r="P16" s="9">
        <f>+'MD Distribution CHIR Q7'!B15</f>
        <v>21223.779138195088</v>
      </c>
      <c r="Q16" s="266">
        <f t="shared" si="3"/>
        <v>1.6134870718094438E-4</v>
      </c>
      <c r="R16" s="9">
        <f t="shared" si="4"/>
        <v>715.38011582872605</v>
      </c>
      <c r="S16" s="9">
        <v>21939.159254023813</v>
      </c>
    </row>
    <row r="17" spans="2:19" ht="15.75" x14ac:dyDescent="0.25">
      <c r="B17" s="1" t="s">
        <v>27</v>
      </c>
      <c r="C17" s="75">
        <f>+'[3]Summary Category RPW Data'!$E$12/1000</f>
        <v>31824.402999999998</v>
      </c>
      <c r="D17" s="82" t="s">
        <v>150</v>
      </c>
      <c r="E17" s="78" t="s">
        <v>150</v>
      </c>
      <c r="F17" s="72">
        <f>+$C17/F$5*F$4</f>
        <v>10687.691904644904</v>
      </c>
      <c r="G17" s="72">
        <f>+$C17/G$5*G$4</f>
        <v>288.0561429688932</v>
      </c>
      <c r="H17" s="77" t="s">
        <v>150</v>
      </c>
      <c r="I17" s="8">
        <f>+C17/I$5*I$4</f>
        <v>1801.8566370314275</v>
      </c>
      <c r="J17" s="8">
        <f t="shared" si="5"/>
        <v>789.00668120231239</v>
      </c>
      <c r="K17" s="8">
        <f t="shared" si="5"/>
        <v>75342.314616986216</v>
      </c>
      <c r="L17" s="8">
        <f t="shared" si="5"/>
        <v>196618.31560071497</v>
      </c>
      <c r="M17" s="225">
        <f>SUM(D17:L17)</f>
        <v>285527.24158354872</v>
      </c>
      <c r="N17" s="241" t="s">
        <v>216</v>
      </c>
      <c r="O17" s="242">
        <f>+M18</f>
        <v>5329460.5555664189</v>
      </c>
      <c r="P17" s="9">
        <f>+'MD Distribution CHIR Q7'!B16</f>
        <v>395964.30012577982</v>
      </c>
      <c r="Q17" s="266">
        <f t="shared" si="3"/>
        <v>3.0102239332167879E-3</v>
      </c>
      <c r="R17" s="9">
        <f t="shared" si="4"/>
        <v>13346.585687854564</v>
      </c>
      <c r="S17" s="9">
        <v>409310.88581363438</v>
      </c>
    </row>
    <row r="18" spans="2:19" ht="15.75" x14ac:dyDescent="0.25">
      <c r="B18" s="1" t="s">
        <v>28</v>
      </c>
      <c r="C18" s="75">
        <f>+'[3]Summary Category RPW Data'!$E$13/1000+'[3]Summary Category RPW Data'!$E$14/1000</f>
        <v>594013.02500000002</v>
      </c>
      <c r="D18" s="5" t="s">
        <v>150</v>
      </c>
      <c r="E18" s="78" t="s">
        <v>150</v>
      </c>
      <c r="F18" s="72">
        <f>+$C18/F$5*F$4</f>
        <v>199489.31009157127</v>
      </c>
      <c r="G18" s="72">
        <f>+$C18/G$5*G$4</f>
        <v>5376.6633377155495</v>
      </c>
      <c r="H18" s="77" t="s">
        <v>150</v>
      </c>
      <c r="I18" s="8">
        <f>+C18/I$5*I$4</f>
        <v>33632.251061531788</v>
      </c>
      <c r="J18" s="8">
        <f t="shared" si="5"/>
        <v>14727.071092148886</v>
      </c>
      <c r="K18" s="8">
        <f t="shared" si="5"/>
        <v>1406289.2622412338</v>
      </c>
      <c r="L18" s="8">
        <f t="shared" si="5"/>
        <v>3669945.9977422175</v>
      </c>
      <c r="M18" s="226">
        <f>SUM(D18:L18)</f>
        <v>5329460.5555664189</v>
      </c>
      <c r="N18" s="241" t="s">
        <v>209</v>
      </c>
      <c r="O18" s="242">
        <f>+M20</f>
        <v>670460.04973876348</v>
      </c>
      <c r="P18" s="9">
        <f>+'MD Distribution CHIR Q7'!B20</f>
        <v>1592603.4608779196</v>
      </c>
      <c r="Q18" s="266">
        <f t="shared" si="3"/>
        <v>1.2107387086501826E-2</v>
      </c>
      <c r="R18" s="9">
        <f t="shared" si="4"/>
        <v>53681.148908194205</v>
      </c>
      <c r="S18" s="9">
        <v>1646284.6097861137</v>
      </c>
    </row>
    <row r="19" spans="2:19" ht="15.75" x14ac:dyDescent="0.25">
      <c r="B19" s="6" t="s">
        <v>29</v>
      </c>
      <c r="C19" s="81">
        <f>SUM(C16:C18)</f>
        <v>1894431.9619999998</v>
      </c>
      <c r="D19" s="8"/>
      <c r="E19" s="72"/>
      <c r="F19" s="72"/>
      <c r="G19" s="72"/>
      <c r="H19" s="8"/>
      <c r="I19" s="8"/>
      <c r="J19" s="8"/>
      <c r="K19" s="8"/>
      <c r="L19" s="8"/>
      <c r="M19" s="227">
        <f>SUM(M16:M18)</f>
        <v>9055876.1793142818</v>
      </c>
      <c r="N19" s="243" t="s">
        <v>210</v>
      </c>
      <c r="O19" s="244">
        <f>+M14</f>
        <v>1915830.4231528756</v>
      </c>
      <c r="P19" s="264">
        <f>+'MD Distribution CHIR Q7'!B12</f>
        <v>142407.29375495863</v>
      </c>
      <c r="Q19" s="266">
        <f t="shared" si="3"/>
        <v>1.0826174071491765E-3</v>
      </c>
      <c r="R19" s="9">
        <f t="shared" si="4"/>
        <v>4800.0568436909116</v>
      </c>
      <c r="S19" s="9">
        <v>147207.35059864956</v>
      </c>
    </row>
    <row r="20" spans="2:19" ht="16.5" thickBot="1" x14ac:dyDescent="0.3">
      <c r="B20" s="1" t="s">
        <v>151</v>
      </c>
      <c r="C20" s="75">
        <f>+'[3]Summary Category RPW Data'!$F$17/1000</f>
        <v>247186.73199999999</v>
      </c>
      <c r="D20" s="4">
        <f>+C20/D5*D4</f>
        <v>613190.69057703053</v>
      </c>
      <c r="E20" s="72">
        <f>+$C20/E$5*E$4</f>
        <v>36315.451776944217</v>
      </c>
      <c r="F20" s="72">
        <f>+$C20*0.01/F$5*F$4</f>
        <v>830.13517473745821</v>
      </c>
      <c r="G20" s="78" t="s">
        <v>150</v>
      </c>
      <c r="H20" s="8">
        <v>0</v>
      </c>
      <c r="I20" s="8">
        <f>+C20/I$5*I$4</f>
        <v>13995.393837876825</v>
      </c>
      <c r="J20" s="8">
        <f t="shared" ref="J20:L21" si="6">+$C20/J$5*J$4</f>
        <v>6128.3783721745049</v>
      </c>
      <c r="K20" s="77" t="s">
        <v>150</v>
      </c>
      <c r="L20" s="77" t="s">
        <v>150</v>
      </c>
      <c r="M20" s="225">
        <f>SUM(D20:L20)</f>
        <v>670460.04973876348</v>
      </c>
      <c r="N20" s="245"/>
      <c r="O20" s="246">
        <f>SUM(O11:O19)</f>
        <v>135639770</v>
      </c>
      <c r="P20" s="9">
        <f>SUM(P11:P19)</f>
        <v>131539815.27967061</v>
      </c>
      <c r="S20" s="9">
        <f>SUM(S11:S19)</f>
        <v>135973567.04829475</v>
      </c>
    </row>
    <row r="21" spans="2:19" ht="15.75" x14ac:dyDescent="0.25">
      <c r="B21" s="1" t="s">
        <v>152</v>
      </c>
      <c r="C21" s="75">
        <v>0</v>
      </c>
      <c r="D21" s="5" t="s">
        <v>150</v>
      </c>
      <c r="E21" s="78" t="s">
        <v>150</v>
      </c>
      <c r="F21" s="72">
        <f>+$C21/F$5*F$4</f>
        <v>0</v>
      </c>
      <c r="G21" s="72">
        <f>+$C21/G$5*G$4</f>
        <v>0</v>
      </c>
      <c r="H21" s="77" t="s">
        <v>150</v>
      </c>
      <c r="I21" s="8">
        <f>+C21/I$5*I$4</f>
        <v>0</v>
      </c>
      <c r="J21" s="8">
        <f t="shared" si="6"/>
        <v>0</v>
      </c>
      <c r="K21" s="8">
        <f t="shared" si="6"/>
        <v>0</v>
      </c>
      <c r="L21" s="8">
        <f t="shared" si="6"/>
        <v>0</v>
      </c>
      <c r="M21" s="226">
        <f>SUM(D21:L21)</f>
        <v>0</v>
      </c>
    </row>
    <row r="22" spans="2:19" ht="15.75" x14ac:dyDescent="0.25">
      <c r="B22" s="6" t="s">
        <v>32</v>
      </c>
      <c r="C22" s="75">
        <f>SUM(C20:C21)</f>
        <v>247186.73199999999</v>
      </c>
      <c r="D22" s="83"/>
      <c r="E22" s="84"/>
      <c r="F22" s="84"/>
      <c r="G22" s="84"/>
      <c r="H22" s="83"/>
      <c r="I22" s="83"/>
      <c r="J22" s="83"/>
      <c r="K22" s="83"/>
      <c r="L22" s="83"/>
      <c r="M22" s="228">
        <f>SUM(M20:M21)</f>
        <v>670460.04973876348</v>
      </c>
      <c r="N22" s="86" t="s">
        <v>39</v>
      </c>
    </row>
    <row r="23" spans="2:19" ht="15.75" x14ac:dyDescent="0.25">
      <c r="B23" s="6" t="s">
        <v>33</v>
      </c>
      <c r="C23" s="81">
        <f>C15+C19+C22</f>
        <v>28445226.084600002</v>
      </c>
      <c r="D23" s="8"/>
      <c r="E23" s="72"/>
      <c r="F23" s="72"/>
      <c r="G23" s="72"/>
      <c r="H23" s="8"/>
      <c r="I23" s="8"/>
      <c r="J23" s="8"/>
      <c r="K23" s="8"/>
      <c r="L23" s="8"/>
      <c r="M23" s="227">
        <f>SUM(M22,M19,M15)</f>
        <v>111460597.70122446</v>
      </c>
      <c r="N23" s="87" t="s">
        <v>40</v>
      </c>
      <c r="P23" s="4">
        <f>+'MD Distribution CHIR Q7'!B29</f>
        <v>133556.97595883088</v>
      </c>
    </row>
    <row r="24" spans="2:19" ht="15.75" x14ac:dyDescent="0.25">
      <c r="B24" s="1" t="s">
        <v>34</v>
      </c>
      <c r="C24" s="75">
        <f>+'[3]PRC RPW'!$G$13</f>
        <v>1049160.5430000001</v>
      </c>
      <c r="D24" s="4">
        <f>+C24/D5*D4</f>
        <v>2602629.4885776574</v>
      </c>
      <c r="E24" s="78" t="s">
        <v>150</v>
      </c>
      <c r="F24" s="78" t="s">
        <v>150</v>
      </c>
      <c r="G24" s="78" t="s">
        <v>150</v>
      </c>
      <c r="H24" s="77" t="s">
        <v>150</v>
      </c>
      <c r="I24" s="77" t="s">
        <v>150</v>
      </c>
      <c r="J24" s="8">
        <f t="shared" ref="J24:L26" si="7">+$C24/J$5*J$4</f>
        <v>26011.31836097117</v>
      </c>
      <c r="K24" s="77" t="s">
        <v>150</v>
      </c>
      <c r="L24" s="77" t="s">
        <v>150</v>
      </c>
      <c r="M24" s="4">
        <f>SUM(D24:L24)</f>
        <v>2628640.8069386287</v>
      </c>
      <c r="N24" s="87" t="s">
        <v>41</v>
      </c>
      <c r="P24" s="4">
        <f>+'MD Distribution CHIR Q7'!B30</f>
        <v>19004.745744916796</v>
      </c>
    </row>
    <row r="25" spans="2:19" ht="15.75" x14ac:dyDescent="0.25">
      <c r="B25" s="1" t="s">
        <v>35</v>
      </c>
      <c r="C25" s="75">
        <f>+'[3]Summary Category RPW Data'!$E$9/1000</f>
        <v>170949.772</v>
      </c>
      <c r="D25" s="5" t="s">
        <v>150</v>
      </c>
      <c r="E25" s="78" t="s">
        <v>150</v>
      </c>
      <c r="F25" s="78" t="s">
        <v>150</v>
      </c>
      <c r="G25" s="78" t="s">
        <v>150</v>
      </c>
      <c r="H25" s="77" t="s">
        <v>150</v>
      </c>
      <c r="I25" s="77" t="s">
        <v>150</v>
      </c>
      <c r="J25" s="8">
        <f t="shared" si="7"/>
        <v>4238.2731345506145</v>
      </c>
      <c r="K25" s="8">
        <f t="shared" si="7"/>
        <v>404713.05952624039</v>
      </c>
      <c r="L25" s="8">
        <f t="shared" si="7"/>
        <v>1056166.1195330599</v>
      </c>
      <c r="M25" s="4">
        <f>SUM(D25:L25)</f>
        <v>1465117.4521938509</v>
      </c>
      <c r="N25" s="87" t="s">
        <v>42</v>
      </c>
      <c r="P25" s="4">
        <f>+'MD Distribution CHIR Q7'!B31</f>
        <v>14432.326590980851</v>
      </c>
    </row>
    <row r="26" spans="2:19" ht="15.75" x14ac:dyDescent="0.25">
      <c r="B26" s="1" t="s">
        <v>36</v>
      </c>
      <c r="C26" s="75">
        <f>+'[3]Summary Category RPW Data'!$E$10/1000</f>
        <v>2248340.3050000002</v>
      </c>
      <c r="D26" s="82" t="s">
        <v>150</v>
      </c>
      <c r="E26" s="78" t="s">
        <v>150</v>
      </c>
      <c r="F26" s="78" t="s">
        <v>150</v>
      </c>
      <c r="G26" s="78" t="s">
        <v>150</v>
      </c>
      <c r="H26" s="77" t="s">
        <v>150</v>
      </c>
      <c r="I26" s="77" t="s">
        <v>150</v>
      </c>
      <c r="J26" s="8">
        <f t="shared" si="7"/>
        <v>55741.989009548583</v>
      </c>
      <c r="K26" s="8">
        <f t="shared" si="7"/>
        <v>5322807.2377464799</v>
      </c>
      <c r="L26" s="8">
        <f t="shared" si="7"/>
        <v>13890751.812887045</v>
      </c>
      <c r="M26" s="80">
        <f>SUM(D26:L26)</f>
        <v>19269301.039643072</v>
      </c>
      <c r="N26" s="87" t="s">
        <v>44</v>
      </c>
      <c r="P26" s="4">
        <f>+'MD Distribution CHIR Q7'!B33</f>
        <v>13606.903410542964</v>
      </c>
    </row>
    <row r="27" spans="2:19" ht="15.75" x14ac:dyDescent="0.25">
      <c r="B27" s="6" t="s">
        <v>37</v>
      </c>
      <c r="C27" s="85">
        <f>SUM(C24:C26)</f>
        <v>3468450.62</v>
      </c>
      <c r="D27" s="4"/>
      <c r="H27" s="8"/>
      <c r="I27" s="8"/>
      <c r="J27" s="8"/>
      <c r="K27" s="8"/>
      <c r="L27" s="8"/>
      <c r="M27" s="83">
        <f>SUM(M24:M26)</f>
        <v>23363059.29877555</v>
      </c>
      <c r="N27" s="87" t="s">
        <v>45</v>
      </c>
      <c r="P27" s="1">
        <v>0</v>
      </c>
    </row>
    <row r="28" spans="2:19" ht="15.75" x14ac:dyDescent="0.25">
      <c r="B28" s="6" t="s">
        <v>200</v>
      </c>
      <c r="C28" s="81">
        <f>C23+C27</f>
        <v>31913676.704600003</v>
      </c>
      <c r="D28" s="4"/>
      <c r="H28" s="8"/>
      <c r="I28" s="8"/>
      <c r="J28" s="8"/>
      <c r="K28" s="8"/>
      <c r="L28" s="8"/>
      <c r="M28" s="8">
        <f>SUM(M27,M23)</f>
        <v>134823657</v>
      </c>
      <c r="N28" s="87" t="s">
        <v>46</v>
      </c>
      <c r="P28" s="1">
        <v>0</v>
      </c>
    </row>
    <row r="29" spans="2:19" x14ac:dyDescent="0.2">
      <c r="N29" s="89" t="s">
        <v>47</v>
      </c>
      <c r="P29" s="1">
        <v>0</v>
      </c>
    </row>
    <row r="30" spans="2:19" x14ac:dyDescent="0.2">
      <c r="D30" s="4"/>
      <c r="E30" s="72"/>
      <c r="F30" s="72"/>
      <c r="G30" s="72"/>
      <c r="I30" s="8"/>
      <c r="J30" s="8"/>
      <c r="K30" s="8" t="s">
        <v>203</v>
      </c>
      <c r="M30" s="232">
        <f>+'[3]PRC RPW'!$B$25</f>
        <v>135639.76999999999</v>
      </c>
      <c r="N30" s="88" t="s">
        <v>48</v>
      </c>
      <c r="P30" s="1">
        <v>0</v>
      </c>
    </row>
    <row r="31" spans="2:19" ht="16.5" thickBot="1" x14ac:dyDescent="0.3">
      <c r="B31" s="6"/>
      <c r="C31" s="6"/>
      <c r="D31" s="4"/>
      <c r="K31" s="8" t="s">
        <v>203</v>
      </c>
      <c r="M31" s="231">
        <f>+O20/1000</f>
        <v>135639.76999999999</v>
      </c>
      <c r="N31" s="90" t="s">
        <v>49</v>
      </c>
      <c r="P31" s="265">
        <f>SUM(P23:P30)</f>
        <v>180600.95170527147</v>
      </c>
      <c r="S31" s="4">
        <f>+P31</f>
        <v>180600.95170527147</v>
      </c>
    </row>
    <row r="32" spans="2:19" ht="15.75" thickTop="1" x14ac:dyDescent="0.2">
      <c r="D32" s="4"/>
      <c r="G32" s="91"/>
      <c r="K32" s="233" t="s">
        <v>205</v>
      </c>
      <c r="L32" s="233"/>
      <c r="M32" s="234">
        <f>+M30-M31</f>
        <v>0</v>
      </c>
      <c r="S32" s="9">
        <f>+S31+S20</f>
        <v>136154168.00000003</v>
      </c>
    </row>
    <row r="33" spans="2:19" ht="15.75" thickBot="1" x14ac:dyDescent="0.25">
      <c r="D33" s="4"/>
      <c r="K33" s="235" t="s">
        <v>204</v>
      </c>
      <c r="L33" s="235"/>
      <c r="M33" s="236">
        <f>+'[3]PRC RPW'!$B$33</f>
        <v>514.39800000000002</v>
      </c>
      <c r="O33" s="1" t="s">
        <v>241</v>
      </c>
      <c r="P33" s="230">
        <f>+P31+P20</f>
        <v>131720416.23137589</v>
      </c>
    </row>
    <row r="34" spans="2:19" ht="15.75" thickTop="1" x14ac:dyDescent="0.2">
      <c r="D34" s="4"/>
      <c r="K34" s="1" t="s">
        <v>211</v>
      </c>
      <c r="M34" s="229">
        <f>+M33+M30</f>
        <v>136154.16799999998</v>
      </c>
      <c r="O34" s="1" t="s">
        <v>212</v>
      </c>
      <c r="P34" s="229">
        <f>+'[3]PRC RPW'!$B$36*1000</f>
        <v>136154167.99999997</v>
      </c>
      <c r="S34" s="229">
        <f>+P34</f>
        <v>136154167.99999997</v>
      </c>
    </row>
    <row r="35" spans="2:19" x14ac:dyDescent="0.2">
      <c r="D35" s="4"/>
      <c r="K35" s="1" t="s">
        <v>212</v>
      </c>
      <c r="M35" s="229">
        <f>+'[3]PRC RPW'!$B$36</f>
        <v>136154.16799999998</v>
      </c>
      <c r="O35" s="1" t="s">
        <v>240</v>
      </c>
      <c r="P35" s="9">
        <f>+P33-P34</f>
        <v>-4433751.7686240822</v>
      </c>
      <c r="S35" s="229">
        <f>+S32-S34</f>
        <v>0</v>
      </c>
    </row>
    <row r="36" spans="2:19" x14ac:dyDescent="0.2">
      <c r="D36" s="4"/>
      <c r="K36" s="1" t="s">
        <v>213</v>
      </c>
      <c r="M36" s="229">
        <f>+M34-M35</f>
        <v>0</v>
      </c>
      <c r="O36" s="1" t="s">
        <v>240</v>
      </c>
      <c r="P36" s="9">
        <v>-4433751.768624112</v>
      </c>
    </row>
    <row r="37" spans="2:19" ht="63" x14ac:dyDescent="0.25">
      <c r="D37" s="4"/>
      <c r="E37" s="152"/>
      <c r="F37" s="153" t="s">
        <v>143</v>
      </c>
      <c r="G37" s="153" t="s">
        <v>144</v>
      </c>
      <c r="H37" s="153" t="s">
        <v>145</v>
      </c>
      <c r="I37" s="154" t="s">
        <v>11</v>
      </c>
    </row>
    <row r="38" spans="2:19" x14ac:dyDescent="0.2">
      <c r="D38" s="4"/>
      <c r="E38" s="155" t="s">
        <v>188</v>
      </c>
      <c r="F38" s="156">
        <v>3844744</v>
      </c>
      <c r="G38" s="157">
        <v>2185383</v>
      </c>
      <c r="H38" s="157">
        <v>56532</v>
      </c>
      <c r="I38" s="158">
        <f>SUM(F38:H38)</f>
        <v>6086659</v>
      </c>
    </row>
    <row r="39" spans="2:19" s="69" customFormat="1" ht="15.75" x14ac:dyDescent="0.25">
      <c r="B39" s="6"/>
      <c r="C39" s="6"/>
      <c r="D39" s="4"/>
      <c r="E39" s="155" t="s">
        <v>189</v>
      </c>
      <c r="F39" s="159">
        <f>F38/I38</f>
        <v>0.63166738928532051</v>
      </c>
      <c r="G39" s="159">
        <f>G38/I38</f>
        <v>0.35904475673764541</v>
      </c>
      <c r="H39" s="159">
        <f>1-F39-G39</f>
        <v>9.2878539770340773E-3</v>
      </c>
      <c r="I39" s="160"/>
      <c r="J39" s="1"/>
      <c r="K39" s="1"/>
      <c r="L39" s="1"/>
      <c r="M39" s="1"/>
      <c r="N39" s="1"/>
      <c r="O39" s="1"/>
      <c r="P39" s="1"/>
    </row>
    <row r="40" spans="2:19" s="69" customFormat="1" x14ac:dyDescent="0.2">
      <c r="B40" s="1"/>
      <c r="C40" s="1"/>
      <c r="D40" s="4"/>
      <c r="E40" s="155"/>
      <c r="F40" s="161"/>
      <c r="G40" s="162"/>
      <c r="H40" s="162"/>
      <c r="I40" s="160"/>
      <c r="J40" s="1"/>
      <c r="K40" s="1"/>
      <c r="L40" s="1"/>
      <c r="M40" s="1"/>
      <c r="N40" s="1"/>
      <c r="O40" s="1"/>
      <c r="P40" s="1"/>
    </row>
    <row r="41" spans="2:19" x14ac:dyDescent="0.2">
      <c r="E41" s="155" t="s">
        <v>190</v>
      </c>
      <c r="F41" s="163">
        <f>F39*I41</f>
        <v>3373837.8562899609</v>
      </c>
      <c r="G41" s="163">
        <f>I41*G39</f>
        <v>1917716.2109863556</v>
      </c>
      <c r="H41" s="164">
        <f>I41*H39</f>
        <v>49607.932723683283</v>
      </c>
      <c r="I41" s="165">
        <f>'[5]MD Fees CHIR'!B10*1000</f>
        <v>5341162</v>
      </c>
    </row>
    <row r="42" spans="2:19" s="69" customFormat="1" ht="15.75" x14ac:dyDescent="0.25">
      <c r="B42" s="1"/>
      <c r="C42" s="1"/>
      <c r="D42" s="4"/>
      <c r="E42" s="166"/>
      <c r="F42" s="167"/>
      <c r="G42" s="168"/>
      <c r="H42" s="169"/>
      <c r="I42" s="170"/>
      <c r="J42" s="1"/>
      <c r="K42" s="1"/>
      <c r="L42" s="1"/>
      <c r="M42" s="1"/>
      <c r="N42" s="1"/>
      <c r="O42" s="1"/>
      <c r="P42" s="1"/>
    </row>
    <row r="43" spans="2:19" s="69" customFormat="1" ht="15.75" x14ac:dyDescent="0.25">
      <c r="B43" s="6"/>
      <c r="C43" s="6"/>
      <c r="D43" s="4"/>
      <c r="H43" s="1"/>
      <c r="I43" s="1"/>
      <c r="J43" s="1"/>
      <c r="K43" s="1"/>
      <c r="L43" s="1"/>
      <c r="M43" s="1"/>
      <c r="N43" s="172"/>
      <c r="O43" s="172">
        <f>+N45*0.5</f>
        <v>408056.5</v>
      </c>
      <c r="P43" s="1"/>
    </row>
    <row r="44" spans="2:19" s="69" customFormat="1" x14ac:dyDescent="0.2">
      <c r="B44" s="1"/>
      <c r="C44" s="1"/>
      <c r="D44" s="4"/>
      <c r="H44" s="1"/>
      <c r="I44" s="1"/>
      <c r="J44" s="1"/>
      <c r="K44" s="1"/>
      <c r="L44" s="1"/>
      <c r="M44" s="1"/>
      <c r="N44" s="172"/>
      <c r="O44" s="172">
        <f>+N45*0.25</f>
        <v>204028.25</v>
      </c>
      <c r="P44" s="1"/>
    </row>
    <row r="45" spans="2:19" s="69" customFormat="1" x14ac:dyDescent="0.2">
      <c r="B45" s="1"/>
      <c r="C45" s="1"/>
      <c r="D45" s="4"/>
      <c r="H45" s="1"/>
      <c r="I45" s="1"/>
      <c r="J45" s="1"/>
      <c r="K45" s="1"/>
      <c r="L45" s="1"/>
      <c r="M45" s="1"/>
      <c r="N45" s="172">
        <v>816113</v>
      </c>
      <c r="O45" s="172">
        <f>+N45*0.125</f>
        <v>102014.125</v>
      </c>
      <c r="P45" s="1"/>
    </row>
    <row r="46" spans="2:19" s="69" customFormat="1" ht="15.75" x14ac:dyDescent="0.25">
      <c r="B46" s="6"/>
      <c r="C46" s="6"/>
      <c r="D46" s="4"/>
      <c r="H46" s="1"/>
      <c r="I46" s="1"/>
      <c r="J46" s="1"/>
      <c r="K46" s="1"/>
      <c r="L46" s="1"/>
      <c r="M46" s="1"/>
      <c r="N46" s="172"/>
      <c r="O46" s="172">
        <f>+N45*0.125</f>
        <v>102014.125</v>
      </c>
      <c r="P46" s="1"/>
    </row>
    <row r="47" spans="2:19" s="69" customFormat="1" ht="15.75" x14ac:dyDescent="0.25">
      <c r="B47" s="6"/>
      <c r="C47" s="6"/>
      <c r="D47" s="4"/>
      <c r="H47" s="1"/>
      <c r="I47" s="1"/>
      <c r="J47" s="1"/>
      <c r="K47" s="1"/>
      <c r="L47" s="1"/>
      <c r="M47" s="1"/>
      <c r="N47" s="172"/>
      <c r="O47" s="172"/>
      <c r="P47" s="1"/>
    </row>
    <row r="48" spans="2:19" s="69" customFormat="1" x14ac:dyDescent="0.2">
      <c r="B48" s="1"/>
      <c r="C48" s="1"/>
      <c r="D48" s="4"/>
      <c r="H48" s="1"/>
      <c r="I48" s="1"/>
      <c r="J48" s="1"/>
      <c r="K48" s="1"/>
      <c r="L48" s="1"/>
      <c r="M48" s="1"/>
      <c r="N48" s="172"/>
      <c r="O48" s="172"/>
      <c r="P48" s="1"/>
    </row>
    <row r="49" spans="2:16" s="69" customFormat="1" x14ac:dyDescent="0.2">
      <c r="B49" s="1"/>
      <c r="C49" s="1"/>
      <c r="D49" s="4"/>
      <c r="H49" s="1"/>
      <c r="I49" s="1"/>
      <c r="J49" s="1"/>
      <c r="K49" s="1"/>
      <c r="L49" s="1"/>
      <c r="M49" s="1"/>
      <c r="N49" s="172"/>
      <c r="O49" s="172"/>
      <c r="P49" s="1"/>
    </row>
    <row r="51" spans="2:16" s="69" customFormat="1" ht="15.75" x14ac:dyDescent="0.25">
      <c r="B51" s="6"/>
      <c r="C51" s="6"/>
      <c r="D51" s="4"/>
      <c r="H51" s="1"/>
      <c r="I51" s="1"/>
      <c r="J51" s="1"/>
      <c r="K51" s="1"/>
      <c r="L51" s="1"/>
      <c r="M51" s="1"/>
    </row>
    <row r="52" spans="2:16" s="69" customFormat="1" ht="15.75" x14ac:dyDescent="0.25">
      <c r="B52" s="6"/>
      <c r="C52" s="6"/>
      <c r="D52" s="4"/>
      <c r="H52" s="1"/>
      <c r="I52" s="1"/>
      <c r="J52" s="1"/>
      <c r="K52" s="1"/>
      <c r="L52" s="1"/>
      <c r="M52" s="1"/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B2:S101"/>
  <sheetViews>
    <sheetView zoomScale="85" workbookViewId="0">
      <selection activeCell="E99" sqref="E99"/>
    </sheetView>
  </sheetViews>
  <sheetFormatPr defaultRowHeight="15" x14ac:dyDescent="0.2"/>
  <cols>
    <col min="1" max="2" width="9.140625" style="1"/>
    <col min="3" max="3" width="57.28515625" style="1" bestFit="1" customWidth="1"/>
    <col min="4" max="4" width="27.42578125" style="1" bestFit="1" customWidth="1"/>
    <col min="5" max="5" width="15.42578125" style="1" customWidth="1"/>
    <col min="6" max="7" width="18.28515625" style="1" customWidth="1"/>
    <col min="8" max="8" width="19" style="1" customWidth="1"/>
    <col min="9" max="9" width="16.28515625" style="1" bestFit="1" customWidth="1"/>
    <col min="10" max="10" width="9.140625" style="1"/>
    <col min="11" max="11" width="55.7109375" style="1" customWidth="1"/>
    <col min="12" max="12" width="23.5703125" style="1" hidden="1" customWidth="1"/>
    <col min="13" max="13" width="9.140625" style="1" hidden="1" customWidth="1"/>
    <col min="14" max="14" width="18.5703125" style="1" hidden="1" customWidth="1"/>
    <col min="15" max="15" width="21.7109375" style="1" hidden="1" customWidth="1"/>
    <col min="16" max="16" width="18.5703125" style="1" hidden="1" customWidth="1"/>
    <col min="17" max="17" width="24.85546875" style="1" hidden="1" customWidth="1"/>
    <col min="18" max="18" width="14" style="1" hidden="1" customWidth="1"/>
    <col min="19" max="19" width="20.85546875" style="1" bestFit="1" customWidth="1"/>
    <col min="20" max="257" width="9.140625" style="1"/>
    <col min="258" max="258" width="57.28515625" style="1" bestFit="1" customWidth="1"/>
    <col min="259" max="259" width="27.42578125" style="1" bestFit="1" customWidth="1"/>
    <col min="260" max="260" width="15.42578125" style="1" bestFit="1" customWidth="1"/>
    <col min="261" max="262" width="18.28515625" style="1" bestFit="1" customWidth="1"/>
    <col min="263" max="263" width="19" style="1" bestFit="1" customWidth="1"/>
    <col min="264" max="264" width="16.28515625" style="1" bestFit="1" customWidth="1"/>
    <col min="265" max="266" width="9.140625" style="1"/>
    <col min="267" max="267" width="10.28515625" style="1" bestFit="1" customWidth="1"/>
    <col min="268" max="513" width="9.140625" style="1"/>
    <col min="514" max="514" width="57.28515625" style="1" bestFit="1" customWidth="1"/>
    <col min="515" max="515" width="27.42578125" style="1" bestFit="1" customWidth="1"/>
    <col min="516" max="516" width="15.42578125" style="1" bestFit="1" customWidth="1"/>
    <col min="517" max="518" width="18.28515625" style="1" bestFit="1" customWidth="1"/>
    <col min="519" max="519" width="19" style="1" bestFit="1" customWidth="1"/>
    <col min="520" max="520" width="16.28515625" style="1" bestFit="1" customWidth="1"/>
    <col min="521" max="522" width="9.140625" style="1"/>
    <col min="523" max="523" width="10.28515625" style="1" bestFit="1" customWidth="1"/>
    <col min="524" max="769" width="9.140625" style="1"/>
    <col min="770" max="770" width="57.28515625" style="1" bestFit="1" customWidth="1"/>
    <col min="771" max="771" width="27.42578125" style="1" bestFit="1" customWidth="1"/>
    <col min="772" max="772" width="15.42578125" style="1" bestFit="1" customWidth="1"/>
    <col min="773" max="774" width="18.28515625" style="1" bestFit="1" customWidth="1"/>
    <col min="775" max="775" width="19" style="1" bestFit="1" customWidth="1"/>
    <col min="776" max="776" width="16.28515625" style="1" bestFit="1" customWidth="1"/>
    <col min="777" max="778" width="9.140625" style="1"/>
    <col min="779" max="779" width="10.28515625" style="1" bestFit="1" customWidth="1"/>
    <col min="780" max="1025" width="9.140625" style="1"/>
    <col min="1026" max="1026" width="57.28515625" style="1" bestFit="1" customWidth="1"/>
    <col min="1027" max="1027" width="27.42578125" style="1" bestFit="1" customWidth="1"/>
    <col min="1028" max="1028" width="15.42578125" style="1" bestFit="1" customWidth="1"/>
    <col min="1029" max="1030" width="18.28515625" style="1" bestFit="1" customWidth="1"/>
    <col min="1031" max="1031" width="19" style="1" bestFit="1" customWidth="1"/>
    <col min="1032" max="1032" width="16.28515625" style="1" bestFit="1" customWidth="1"/>
    <col min="1033" max="1034" width="9.140625" style="1"/>
    <col min="1035" max="1035" width="10.28515625" style="1" bestFit="1" customWidth="1"/>
    <col min="1036" max="1281" width="9.140625" style="1"/>
    <col min="1282" max="1282" width="57.28515625" style="1" bestFit="1" customWidth="1"/>
    <col min="1283" max="1283" width="27.42578125" style="1" bestFit="1" customWidth="1"/>
    <col min="1284" max="1284" width="15.42578125" style="1" bestFit="1" customWidth="1"/>
    <col min="1285" max="1286" width="18.28515625" style="1" bestFit="1" customWidth="1"/>
    <col min="1287" max="1287" width="19" style="1" bestFit="1" customWidth="1"/>
    <col min="1288" max="1288" width="16.28515625" style="1" bestFit="1" customWidth="1"/>
    <col min="1289" max="1290" width="9.140625" style="1"/>
    <col min="1291" max="1291" width="10.28515625" style="1" bestFit="1" customWidth="1"/>
    <col min="1292" max="1537" width="9.140625" style="1"/>
    <col min="1538" max="1538" width="57.28515625" style="1" bestFit="1" customWidth="1"/>
    <col min="1539" max="1539" width="27.42578125" style="1" bestFit="1" customWidth="1"/>
    <col min="1540" max="1540" width="15.42578125" style="1" bestFit="1" customWidth="1"/>
    <col min="1541" max="1542" width="18.28515625" style="1" bestFit="1" customWidth="1"/>
    <col min="1543" max="1543" width="19" style="1" bestFit="1" customWidth="1"/>
    <col min="1544" max="1544" width="16.28515625" style="1" bestFit="1" customWidth="1"/>
    <col min="1545" max="1546" width="9.140625" style="1"/>
    <col min="1547" max="1547" width="10.28515625" style="1" bestFit="1" customWidth="1"/>
    <col min="1548" max="1793" width="9.140625" style="1"/>
    <col min="1794" max="1794" width="57.28515625" style="1" bestFit="1" customWidth="1"/>
    <col min="1795" max="1795" width="27.42578125" style="1" bestFit="1" customWidth="1"/>
    <col min="1796" max="1796" width="15.42578125" style="1" bestFit="1" customWidth="1"/>
    <col min="1797" max="1798" width="18.28515625" style="1" bestFit="1" customWidth="1"/>
    <col min="1799" max="1799" width="19" style="1" bestFit="1" customWidth="1"/>
    <col min="1800" max="1800" width="16.28515625" style="1" bestFit="1" customWidth="1"/>
    <col min="1801" max="1802" width="9.140625" style="1"/>
    <col min="1803" max="1803" width="10.28515625" style="1" bestFit="1" customWidth="1"/>
    <col min="1804" max="2049" width="9.140625" style="1"/>
    <col min="2050" max="2050" width="57.28515625" style="1" bestFit="1" customWidth="1"/>
    <col min="2051" max="2051" width="27.42578125" style="1" bestFit="1" customWidth="1"/>
    <col min="2052" max="2052" width="15.42578125" style="1" bestFit="1" customWidth="1"/>
    <col min="2053" max="2054" width="18.28515625" style="1" bestFit="1" customWidth="1"/>
    <col min="2055" max="2055" width="19" style="1" bestFit="1" customWidth="1"/>
    <col min="2056" max="2056" width="16.28515625" style="1" bestFit="1" customWidth="1"/>
    <col min="2057" max="2058" width="9.140625" style="1"/>
    <col min="2059" max="2059" width="10.28515625" style="1" bestFit="1" customWidth="1"/>
    <col min="2060" max="2305" width="9.140625" style="1"/>
    <col min="2306" max="2306" width="57.28515625" style="1" bestFit="1" customWidth="1"/>
    <col min="2307" max="2307" width="27.42578125" style="1" bestFit="1" customWidth="1"/>
    <col min="2308" max="2308" width="15.42578125" style="1" bestFit="1" customWidth="1"/>
    <col min="2309" max="2310" width="18.28515625" style="1" bestFit="1" customWidth="1"/>
    <col min="2311" max="2311" width="19" style="1" bestFit="1" customWidth="1"/>
    <col min="2312" max="2312" width="16.28515625" style="1" bestFit="1" customWidth="1"/>
    <col min="2313" max="2314" width="9.140625" style="1"/>
    <col min="2315" max="2315" width="10.28515625" style="1" bestFit="1" customWidth="1"/>
    <col min="2316" max="2561" width="9.140625" style="1"/>
    <col min="2562" max="2562" width="57.28515625" style="1" bestFit="1" customWidth="1"/>
    <col min="2563" max="2563" width="27.42578125" style="1" bestFit="1" customWidth="1"/>
    <col min="2564" max="2564" width="15.42578125" style="1" bestFit="1" customWidth="1"/>
    <col min="2565" max="2566" width="18.28515625" style="1" bestFit="1" customWidth="1"/>
    <col min="2567" max="2567" width="19" style="1" bestFit="1" customWidth="1"/>
    <col min="2568" max="2568" width="16.28515625" style="1" bestFit="1" customWidth="1"/>
    <col min="2569" max="2570" width="9.140625" style="1"/>
    <col min="2571" max="2571" width="10.28515625" style="1" bestFit="1" customWidth="1"/>
    <col min="2572" max="2817" width="9.140625" style="1"/>
    <col min="2818" max="2818" width="57.28515625" style="1" bestFit="1" customWidth="1"/>
    <col min="2819" max="2819" width="27.42578125" style="1" bestFit="1" customWidth="1"/>
    <col min="2820" max="2820" width="15.42578125" style="1" bestFit="1" customWidth="1"/>
    <col min="2821" max="2822" width="18.28515625" style="1" bestFit="1" customWidth="1"/>
    <col min="2823" max="2823" width="19" style="1" bestFit="1" customWidth="1"/>
    <col min="2824" max="2824" width="16.28515625" style="1" bestFit="1" customWidth="1"/>
    <col min="2825" max="2826" width="9.140625" style="1"/>
    <col min="2827" max="2827" width="10.28515625" style="1" bestFit="1" customWidth="1"/>
    <col min="2828" max="3073" width="9.140625" style="1"/>
    <col min="3074" max="3074" width="57.28515625" style="1" bestFit="1" customWidth="1"/>
    <col min="3075" max="3075" width="27.42578125" style="1" bestFit="1" customWidth="1"/>
    <col min="3076" max="3076" width="15.42578125" style="1" bestFit="1" customWidth="1"/>
    <col min="3077" max="3078" width="18.28515625" style="1" bestFit="1" customWidth="1"/>
    <col min="3079" max="3079" width="19" style="1" bestFit="1" customWidth="1"/>
    <col min="3080" max="3080" width="16.28515625" style="1" bestFit="1" customWidth="1"/>
    <col min="3081" max="3082" width="9.140625" style="1"/>
    <col min="3083" max="3083" width="10.28515625" style="1" bestFit="1" customWidth="1"/>
    <col min="3084" max="3329" width="9.140625" style="1"/>
    <col min="3330" max="3330" width="57.28515625" style="1" bestFit="1" customWidth="1"/>
    <col min="3331" max="3331" width="27.42578125" style="1" bestFit="1" customWidth="1"/>
    <col min="3332" max="3332" width="15.42578125" style="1" bestFit="1" customWidth="1"/>
    <col min="3333" max="3334" width="18.28515625" style="1" bestFit="1" customWidth="1"/>
    <col min="3335" max="3335" width="19" style="1" bestFit="1" customWidth="1"/>
    <col min="3336" max="3336" width="16.28515625" style="1" bestFit="1" customWidth="1"/>
    <col min="3337" max="3338" width="9.140625" style="1"/>
    <col min="3339" max="3339" width="10.28515625" style="1" bestFit="1" customWidth="1"/>
    <col min="3340" max="3585" width="9.140625" style="1"/>
    <col min="3586" max="3586" width="57.28515625" style="1" bestFit="1" customWidth="1"/>
    <col min="3587" max="3587" width="27.42578125" style="1" bestFit="1" customWidth="1"/>
    <col min="3588" max="3588" width="15.42578125" style="1" bestFit="1" customWidth="1"/>
    <col min="3589" max="3590" width="18.28515625" style="1" bestFit="1" customWidth="1"/>
    <col min="3591" max="3591" width="19" style="1" bestFit="1" customWidth="1"/>
    <col min="3592" max="3592" width="16.28515625" style="1" bestFit="1" customWidth="1"/>
    <col min="3593" max="3594" width="9.140625" style="1"/>
    <col min="3595" max="3595" width="10.28515625" style="1" bestFit="1" customWidth="1"/>
    <col min="3596" max="3841" width="9.140625" style="1"/>
    <col min="3842" max="3842" width="57.28515625" style="1" bestFit="1" customWidth="1"/>
    <col min="3843" max="3843" width="27.42578125" style="1" bestFit="1" customWidth="1"/>
    <col min="3844" max="3844" width="15.42578125" style="1" bestFit="1" customWidth="1"/>
    <col min="3845" max="3846" width="18.28515625" style="1" bestFit="1" customWidth="1"/>
    <col min="3847" max="3847" width="19" style="1" bestFit="1" customWidth="1"/>
    <col min="3848" max="3848" width="16.28515625" style="1" bestFit="1" customWidth="1"/>
    <col min="3849" max="3850" width="9.140625" style="1"/>
    <col min="3851" max="3851" width="10.28515625" style="1" bestFit="1" customWidth="1"/>
    <col min="3852" max="4097" width="9.140625" style="1"/>
    <col min="4098" max="4098" width="57.28515625" style="1" bestFit="1" customWidth="1"/>
    <col min="4099" max="4099" width="27.42578125" style="1" bestFit="1" customWidth="1"/>
    <col min="4100" max="4100" width="15.42578125" style="1" bestFit="1" customWidth="1"/>
    <col min="4101" max="4102" width="18.28515625" style="1" bestFit="1" customWidth="1"/>
    <col min="4103" max="4103" width="19" style="1" bestFit="1" customWidth="1"/>
    <col min="4104" max="4104" width="16.28515625" style="1" bestFit="1" customWidth="1"/>
    <col min="4105" max="4106" width="9.140625" style="1"/>
    <col min="4107" max="4107" width="10.28515625" style="1" bestFit="1" customWidth="1"/>
    <col min="4108" max="4353" width="9.140625" style="1"/>
    <col min="4354" max="4354" width="57.28515625" style="1" bestFit="1" customWidth="1"/>
    <col min="4355" max="4355" width="27.42578125" style="1" bestFit="1" customWidth="1"/>
    <col min="4356" max="4356" width="15.42578125" style="1" bestFit="1" customWidth="1"/>
    <col min="4357" max="4358" width="18.28515625" style="1" bestFit="1" customWidth="1"/>
    <col min="4359" max="4359" width="19" style="1" bestFit="1" customWidth="1"/>
    <col min="4360" max="4360" width="16.28515625" style="1" bestFit="1" customWidth="1"/>
    <col min="4361" max="4362" width="9.140625" style="1"/>
    <col min="4363" max="4363" width="10.28515625" style="1" bestFit="1" customWidth="1"/>
    <col min="4364" max="4609" width="9.140625" style="1"/>
    <col min="4610" max="4610" width="57.28515625" style="1" bestFit="1" customWidth="1"/>
    <col min="4611" max="4611" width="27.42578125" style="1" bestFit="1" customWidth="1"/>
    <col min="4612" max="4612" width="15.42578125" style="1" bestFit="1" customWidth="1"/>
    <col min="4613" max="4614" width="18.28515625" style="1" bestFit="1" customWidth="1"/>
    <col min="4615" max="4615" width="19" style="1" bestFit="1" customWidth="1"/>
    <col min="4616" max="4616" width="16.28515625" style="1" bestFit="1" customWidth="1"/>
    <col min="4617" max="4618" width="9.140625" style="1"/>
    <col min="4619" max="4619" width="10.28515625" style="1" bestFit="1" customWidth="1"/>
    <col min="4620" max="4865" width="9.140625" style="1"/>
    <col min="4866" max="4866" width="57.28515625" style="1" bestFit="1" customWidth="1"/>
    <col min="4867" max="4867" width="27.42578125" style="1" bestFit="1" customWidth="1"/>
    <col min="4868" max="4868" width="15.42578125" style="1" bestFit="1" customWidth="1"/>
    <col min="4869" max="4870" width="18.28515625" style="1" bestFit="1" customWidth="1"/>
    <col min="4871" max="4871" width="19" style="1" bestFit="1" customWidth="1"/>
    <col min="4872" max="4872" width="16.28515625" style="1" bestFit="1" customWidth="1"/>
    <col min="4873" max="4874" width="9.140625" style="1"/>
    <col min="4875" max="4875" width="10.28515625" style="1" bestFit="1" customWidth="1"/>
    <col min="4876" max="5121" width="9.140625" style="1"/>
    <col min="5122" max="5122" width="57.28515625" style="1" bestFit="1" customWidth="1"/>
    <col min="5123" max="5123" width="27.42578125" style="1" bestFit="1" customWidth="1"/>
    <col min="5124" max="5124" width="15.42578125" style="1" bestFit="1" customWidth="1"/>
    <col min="5125" max="5126" width="18.28515625" style="1" bestFit="1" customWidth="1"/>
    <col min="5127" max="5127" width="19" style="1" bestFit="1" customWidth="1"/>
    <col min="5128" max="5128" width="16.28515625" style="1" bestFit="1" customWidth="1"/>
    <col min="5129" max="5130" width="9.140625" style="1"/>
    <col min="5131" max="5131" width="10.28515625" style="1" bestFit="1" customWidth="1"/>
    <col min="5132" max="5377" width="9.140625" style="1"/>
    <col min="5378" max="5378" width="57.28515625" style="1" bestFit="1" customWidth="1"/>
    <col min="5379" max="5379" width="27.42578125" style="1" bestFit="1" customWidth="1"/>
    <col min="5380" max="5380" width="15.42578125" style="1" bestFit="1" customWidth="1"/>
    <col min="5381" max="5382" width="18.28515625" style="1" bestFit="1" customWidth="1"/>
    <col min="5383" max="5383" width="19" style="1" bestFit="1" customWidth="1"/>
    <col min="5384" max="5384" width="16.28515625" style="1" bestFit="1" customWidth="1"/>
    <col min="5385" max="5386" width="9.140625" style="1"/>
    <col min="5387" max="5387" width="10.28515625" style="1" bestFit="1" customWidth="1"/>
    <col min="5388" max="5633" width="9.140625" style="1"/>
    <col min="5634" max="5634" width="57.28515625" style="1" bestFit="1" customWidth="1"/>
    <col min="5635" max="5635" width="27.42578125" style="1" bestFit="1" customWidth="1"/>
    <col min="5636" max="5636" width="15.42578125" style="1" bestFit="1" customWidth="1"/>
    <col min="5637" max="5638" width="18.28515625" style="1" bestFit="1" customWidth="1"/>
    <col min="5639" max="5639" width="19" style="1" bestFit="1" customWidth="1"/>
    <col min="5640" max="5640" width="16.28515625" style="1" bestFit="1" customWidth="1"/>
    <col min="5641" max="5642" width="9.140625" style="1"/>
    <col min="5643" max="5643" width="10.28515625" style="1" bestFit="1" customWidth="1"/>
    <col min="5644" max="5889" width="9.140625" style="1"/>
    <col min="5890" max="5890" width="57.28515625" style="1" bestFit="1" customWidth="1"/>
    <col min="5891" max="5891" width="27.42578125" style="1" bestFit="1" customWidth="1"/>
    <col min="5892" max="5892" width="15.42578125" style="1" bestFit="1" customWidth="1"/>
    <col min="5893" max="5894" width="18.28515625" style="1" bestFit="1" customWidth="1"/>
    <col min="5895" max="5895" width="19" style="1" bestFit="1" customWidth="1"/>
    <col min="5896" max="5896" width="16.28515625" style="1" bestFit="1" customWidth="1"/>
    <col min="5897" max="5898" width="9.140625" style="1"/>
    <col min="5899" max="5899" width="10.28515625" style="1" bestFit="1" customWidth="1"/>
    <col min="5900" max="6145" width="9.140625" style="1"/>
    <col min="6146" max="6146" width="57.28515625" style="1" bestFit="1" customWidth="1"/>
    <col min="6147" max="6147" width="27.42578125" style="1" bestFit="1" customWidth="1"/>
    <col min="6148" max="6148" width="15.42578125" style="1" bestFit="1" customWidth="1"/>
    <col min="6149" max="6150" width="18.28515625" style="1" bestFit="1" customWidth="1"/>
    <col min="6151" max="6151" width="19" style="1" bestFit="1" customWidth="1"/>
    <col min="6152" max="6152" width="16.28515625" style="1" bestFit="1" customWidth="1"/>
    <col min="6153" max="6154" width="9.140625" style="1"/>
    <col min="6155" max="6155" width="10.28515625" style="1" bestFit="1" customWidth="1"/>
    <col min="6156" max="6401" width="9.140625" style="1"/>
    <col min="6402" max="6402" width="57.28515625" style="1" bestFit="1" customWidth="1"/>
    <col min="6403" max="6403" width="27.42578125" style="1" bestFit="1" customWidth="1"/>
    <col min="6404" max="6404" width="15.42578125" style="1" bestFit="1" customWidth="1"/>
    <col min="6405" max="6406" width="18.28515625" style="1" bestFit="1" customWidth="1"/>
    <col min="6407" max="6407" width="19" style="1" bestFit="1" customWidth="1"/>
    <col min="6408" max="6408" width="16.28515625" style="1" bestFit="1" customWidth="1"/>
    <col min="6409" max="6410" width="9.140625" style="1"/>
    <col min="6411" max="6411" width="10.28515625" style="1" bestFit="1" customWidth="1"/>
    <col min="6412" max="6657" width="9.140625" style="1"/>
    <col min="6658" max="6658" width="57.28515625" style="1" bestFit="1" customWidth="1"/>
    <col min="6659" max="6659" width="27.42578125" style="1" bestFit="1" customWidth="1"/>
    <col min="6660" max="6660" width="15.42578125" style="1" bestFit="1" customWidth="1"/>
    <col min="6661" max="6662" width="18.28515625" style="1" bestFit="1" customWidth="1"/>
    <col min="6663" max="6663" width="19" style="1" bestFit="1" customWidth="1"/>
    <col min="6664" max="6664" width="16.28515625" style="1" bestFit="1" customWidth="1"/>
    <col min="6665" max="6666" width="9.140625" style="1"/>
    <col min="6667" max="6667" width="10.28515625" style="1" bestFit="1" customWidth="1"/>
    <col min="6668" max="6913" width="9.140625" style="1"/>
    <col min="6914" max="6914" width="57.28515625" style="1" bestFit="1" customWidth="1"/>
    <col min="6915" max="6915" width="27.42578125" style="1" bestFit="1" customWidth="1"/>
    <col min="6916" max="6916" width="15.42578125" style="1" bestFit="1" customWidth="1"/>
    <col min="6917" max="6918" width="18.28515625" style="1" bestFit="1" customWidth="1"/>
    <col min="6919" max="6919" width="19" style="1" bestFit="1" customWidth="1"/>
    <col min="6920" max="6920" width="16.28515625" style="1" bestFit="1" customWidth="1"/>
    <col min="6921" max="6922" width="9.140625" style="1"/>
    <col min="6923" max="6923" width="10.28515625" style="1" bestFit="1" customWidth="1"/>
    <col min="6924" max="7169" width="9.140625" style="1"/>
    <col min="7170" max="7170" width="57.28515625" style="1" bestFit="1" customWidth="1"/>
    <col min="7171" max="7171" width="27.42578125" style="1" bestFit="1" customWidth="1"/>
    <col min="7172" max="7172" width="15.42578125" style="1" bestFit="1" customWidth="1"/>
    <col min="7173" max="7174" width="18.28515625" style="1" bestFit="1" customWidth="1"/>
    <col min="7175" max="7175" width="19" style="1" bestFit="1" customWidth="1"/>
    <col min="7176" max="7176" width="16.28515625" style="1" bestFit="1" customWidth="1"/>
    <col min="7177" max="7178" width="9.140625" style="1"/>
    <col min="7179" max="7179" width="10.28515625" style="1" bestFit="1" customWidth="1"/>
    <col min="7180" max="7425" width="9.140625" style="1"/>
    <col min="7426" max="7426" width="57.28515625" style="1" bestFit="1" customWidth="1"/>
    <col min="7427" max="7427" width="27.42578125" style="1" bestFit="1" customWidth="1"/>
    <col min="7428" max="7428" width="15.42578125" style="1" bestFit="1" customWidth="1"/>
    <col min="7429" max="7430" width="18.28515625" style="1" bestFit="1" customWidth="1"/>
    <col min="7431" max="7431" width="19" style="1" bestFit="1" customWidth="1"/>
    <col min="7432" max="7432" width="16.28515625" style="1" bestFit="1" customWidth="1"/>
    <col min="7433" max="7434" width="9.140625" style="1"/>
    <col min="7435" max="7435" width="10.28515625" style="1" bestFit="1" customWidth="1"/>
    <col min="7436" max="7681" width="9.140625" style="1"/>
    <col min="7682" max="7682" width="57.28515625" style="1" bestFit="1" customWidth="1"/>
    <col min="7683" max="7683" width="27.42578125" style="1" bestFit="1" customWidth="1"/>
    <col min="7684" max="7684" width="15.42578125" style="1" bestFit="1" customWidth="1"/>
    <col min="7685" max="7686" width="18.28515625" style="1" bestFit="1" customWidth="1"/>
    <col min="7687" max="7687" width="19" style="1" bestFit="1" customWidth="1"/>
    <col min="7688" max="7688" width="16.28515625" style="1" bestFit="1" customWidth="1"/>
    <col min="7689" max="7690" width="9.140625" style="1"/>
    <col min="7691" max="7691" width="10.28515625" style="1" bestFit="1" customWidth="1"/>
    <col min="7692" max="7937" width="9.140625" style="1"/>
    <col min="7938" max="7938" width="57.28515625" style="1" bestFit="1" customWidth="1"/>
    <col min="7939" max="7939" width="27.42578125" style="1" bestFit="1" customWidth="1"/>
    <col min="7940" max="7940" width="15.42578125" style="1" bestFit="1" customWidth="1"/>
    <col min="7941" max="7942" width="18.28515625" style="1" bestFit="1" customWidth="1"/>
    <col min="7943" max="7943" width="19" style="1" bestFit="1" customWidth="1"/>
    <col min="7944" max="7944" width="16.28515625" style="1" bestFit="1" customWidth="1"/>
    <col min="7945" max="7946" width="9.140625" style="1"/>
    <col min="7947" max="7947" width="10.28515625" style="1" bestFit="1" customWidth="1"/>
    <col min="7948" max="8193" width="9.140625" style="1"/>
    <col min="8194" max="8194" width="57.28515625" style="1" bestFit="1" customWidth="1"/>
    <col min="8195" max="8195" width="27.42578125" style="1" bestFit="1" customWidth="1"/>
    <col min="8196" max="8196" width="15.42578125" style="1" bestFit="1" customWidth="1"/>
    <col min="8197" max="8198" width="18.28515625" style="1" bestFit="1" customWidth="1"/>
    <col min="8199" max="8199" width="19" style="1" bestFit="1" customWidth="1"/>
    <col min="8200" max="8200" width="16.28515625" style="1" bestFit="1" customWidth="1"/>
    <col min="8201" max="8202" width="9.140625" style="1"/>
    <col min="8203" max="8203" width="10.28515625" style="1" bestFit="1" customWidth="1"/>
    <col min="8204" max="8449" width="9.140625" style="1"/>
    <col min="8450" max="8450" width="57.28515625" style="1" bestFit="1" customWidth="1"/>
    <col min="8451" max="8451" width="27.42578125" style="1" bestFit="1" customWidth="1"/>
    <col min="8452" max="8452" width="15.42578125" style="1" bestFit="1" customWidth="1"/>
    <col min="8453" max="8454" width="18.28515625" style="1" bestFit="1" customWidth="1"/>
    <col min="8455" max="8455" width="19" style="1" bestFit="1" customWidth="1"/>
    <col min="8456" max="8456" width="16.28515625" style="1" bestFit="1" customWidth="1"/>
    <col min="8457" max="8458" width="9.140625" style="1"/>
    <col min="8459" max="8459" width="10.28515625" style="1" bestFit="1" customWidth="1"/>
    <col min="8460" max="8705" width="9.140625" style="1"/>
    <col min="8706" max="8706" width="57.28515625" style="1" bestFit="1" customWidth="1"/>
    <col min="8707" max="8707" width="27.42578125" style="1" bestFit="1" customWidth="1"/>
    <col min="8708" max="8708" width="15.42578125" style="1" bestFit="1" customWidth="1"/>
    <col min="8709" max="8710" width="18.28515625" style="1" bestFit="1" customWidth="1"/>
    <col min="8711" max="8711" width="19" style="1" bestFit="1" customWidth="1"/>
    <col min="8712" max="8712" width="16.28515625" style="1" bestFit="1" customWidth="1"/>
    <col min="8713" max="8714" width="9.140625" style="1"/>
    <col min="8715" max="8715" width="10.28515625" style="1" bestFit="1" customWidth="1"/>
    <col min="8716" max="8961" width="9.140625" style="1"/>
    <col min="8962" max="8962" width="57.28515625" style="1" bestFit="1" customWidth="1"/>
    <col min="8963" max="8963" width="27.42578125" style="1" bestFit="1" customWidth="1"/>
    <col min="8964" max="8964" width="15.42578125" style="1" bestFit="1" customWidth="1"/>
    <col min="8965" max="8966" width="18.28515625" style="1" bestFit="1" customWidth="1"/>
    <col min="8967" max="8967" width="19" style="1" bestFit="1" customWidth="1"/>
    <col min="8968" max="8968" width="16.28515625" style="1" bestFit="1" customWidth="1"/>
    <col min="8969" max="8970" width="9.140625" style="1"/>
    <col min="8971" max="8971" width="10.28515625" style="1" bestFit="1" customWidth="1"/>
    <col min="8972" max="9217" width="9.140625" style="1"/>
    <col min="9218" max="9218" width="57.28515625" style="1" bestFit="1" customWidth="1"/>
    <col min="9219" max="9219" width="27.42578125" style="1" bestFit="1" customWidth="1"/>
    <col min="9220" max="9220" width="15.42578125" style="1" bestFit="1" customWidth="1"/>
    <col min="9221" max="9222" width="18.28515625" style="1" bestFit="1" customWidth="1"/>
    <col min="9223" max="9223" width="19" style="1" bestFit="1" customWidth="1"/>
    <col min="9224" max="9224" width="16.28515625" style="1" bestFit="1" customWidth="1"/>
    <col min="9225" max="9226" width="9.140625" style="1"/>
    <col min="9227" max="9227" width="10.28515625" style="1" bestFit="1" customWidth="1"/>
    <col min="9228" max="9473" width="9.140625" style="1"/>
    <col min="9474" max="9474" width="57.28515625" style="1" bestFit="1" customWidth="1"/>
    <col min="9475" max="9475" width="27.42578125" style="1" bestFit="1" customWidth="1"/>
    <col min="9476" max="9476" width="15.42578125" style="1" bestFit="1" customWidth="1"/>
    <col min="9477" max="9478" width="18.28515625" style="1" bestFit="1" customWidth="1"/>
    <col min="9479" max="9479" width="19" style="1" bestFit="1" customWidth="1"/>
    <col min="9480" max="9480" width="16.28515625" style="1" bestFit="1" customWidth="1"/>
    <col min="9481" max="9482" width="9.140625" style="1"/>
    <col min="9483" max="9483" width="10.28515625" style="1" bestFit="1" customWidth="1"/>
    <col min="9484" max="9729" width="9.140625" style="1"/>
    <col min="9730" max="9730" width="57.28515625" style="1" bestFit="1" customWidth="1"/>
    <col min="9731" max="9731" width="27.42578125" style="1" bestFit="1" customWidth="1"/>
    <col min="9732" max="9732" width="15.42578125" style="1" bestFit="1" customWidth="1"/>
    <col min="9733" max="9734" width="18.28515625" style="1" bestFit="1" customWidth="1"/>
    <col min="9735" max="9735" width="19" style="1" bestFit="1" customWidth="1"/>
    <col min="9736" max="9736" width="16.28515625" style="1" bestFit="1" customWidth="1"/>
    <col min="9737" max="9738" width="9.140625" style="1"/>
    <col min="9739" max="9739" width="10.28515625" style="1" bestFit="1" customWidth="1"/>
    <col min="9740" max="9985" width="9.140625" style="1"/>
    <col min="9986" max="9986" width="57.28515625" style="1" bestFit="1" customWidth="1"/>
    <col min="9987" max="9987" width="27.42578125" style="1" bestFit="1" customWidth="1"/>
    <col min="9988" max="9988" width="15.42578125" style="1" bestFit="1" customWidth="1"/>
    <col min="9989" max="9990" width="18.28515625" style="1" bestFit="1" customWidth="1"/>
    <col min="9991" max="9991" width="19" style="1" bestFit="1" customWidth="1"/>
    <col min="9992" max="9992" width="16.28515625" style="1" bestFit="1" customWidth="1"/>
    <col min="9993" max="9994" width="9.140625" style="1"/>
    <col min="9995" max="9995" width="10.28515625" style="1" bestFit="1" customWidth="1"/>
    <col min="9996" max="10241" width="9.140625" style="1"/>
    <col min="10242" max="10242" width="57.28515625" style="1" bestFit="1" customWidth="1"/>
    <col min="10243" max="10243" width="27.42578125" style="1" bestFit="1" customWidth="1"/>
    <col min="10244" max="10244" width="15.42578125" style="1" bestFit="1" customWidth="1"/>
    <col min="10245" max="10246" width="18.28515625" style="1" bestFit="1" customWidth="1"/>
    <col min="10247" max="10247" width="19" style="1" bestFit="1" customWidth="1"/>
    <col min="10248" max="10248" width="16.28515625" style="1" bestFit="1" customWidth="1"/>
    <col min="10249" max="10250" width="9.140625" style="1"/>
    <col min="10251" max="10251" width="10.28515625" style="1" bestFit="1" customWidth="1"/>
    <col min="10252" max="10497" width="9.140625" style="1"/>
    <col min="10498" max="10498" width="57.28515625" style="1" bestFit="1" customWidth="1"/>
    <col min="10499" max="10499" width="27.42578125" style="1" bestFit="1" customWidth="1"/>
    <col min="10500" max="10500" width="15.42578125" style="1" bestFit="1" customWidth="1"/>
    <col min="10501" max="10502" width="18.28515625" style="1" bestFit="1" customWidth="1"/>
    <col min="10503" max="10503" width="19" style="1" bestFit="1" customWidth="1"/>
    <col min="10504" max="10504" width="16.28515625" style="1" bestFit="1" customWidth="1"/>
    <col min="10505" max="10506" width="9.140625" style="1"/>
    <col min="10507" max="10507" width="10.28515625" style="1" bestFit="1" customWidth="1"/>
    <col min="10508" max="10753" width="9.140625" style="1"/>
    <col min="10754" max="10754" width="57.28515625" style="1" bestFit="1" customWidth="1"/>
    <col min="10755" max="10755" width="27.42578125" style="1" bestFit="1" customWidth="1"/>
    <col min="10756" max="10756" width="15.42578125" style="1" bestFit="1" customWidth="1"/>
    <col min="10757" max="10758" width="18.28515625" style="1" bestFit="1" customWidth="1"/>
    <col min="10759" max="10759" width="19" style="1" bestFit="1" customWidth="1"/>
    <col min="10760" max="10760" width="16.28515625" style="1" bestFit="1" customWidth="1"/>
    <col min="10761" max="10762" width="9.140625" style="1"/>
    <col min="10763" max="10763" width="10.28515625" style="1" bestFit="1" customWidth="1"/>
    <col min="10764" max="11009" width="9.140625" style="1"/>
    <col min="11010" max="11010" width="57.28515625" style="1" bestFit="1" customWidth="1"/>
    <col min="11011" max="11011" width="27.42578125" style="1" bestFit="1" customWidth="1"/>
    <col min="11012" max="11012" width="15.42578125" style="1" bestFit="1" customWidth="1"/>
    <col min="11013" max="11014" width="18.28515625" style="1" bestFit="1" customWidth="1"/>
    <col min="11015" max="11015" width="19" style="1" bestFit="1" customWidth="1"/>
    <col min="11016" max="11016" width="16.28515625" style="1" bestFit="1" customWidth="1"/>
    <col min="11017" max="11018" width="9.140625" style="1"/>
    <col min="11019" max="11019" width="10.28515625" style="1" bestFit="1" customWidth="1"/>
    <col min="11020" max="11265" width="9.140625" style="1"/>
    <col min="11266" max="11266" width="57.28515625" style="1" bestFit="1" customWidth="1"/>
    <col min="11267" max="11267" width="27.42578125" style="1" bestFit="1" customWidth="1"/>
    <col min="11268" max="11268" width="15.42578125" style="1" bestFit="1" customWidth="1"/>
    <col min="11269" max="11270" width="18.28515625" style="1" bestFit="1" customWidth="1"/>
    <col min="11271" max="11271" width="19" style="1" bestFit="1" customWidth="1"/>
    <col min="11272" max="11272" width="16.28515625" style="1" bestFit="1" customWidth="1"/>
    <col min="11273" max="11274" width="9.140625" style="1"/>
    <col min="11275" max="11275" width="10.28515625" style="1" bestFit="1" customWidth="1"/>
    <col min="11276" max="11521" width="9.140625" style="1"/>
    <col min="11522" max="11522" width="57.28515625" style="1" bestFit="1" customWidth="1"/>
    <col min="11523" max="11523" width="27.42578125" style="1" bestFit="1" customWidth="1"/>
    <col min="11524" max="11524" width="15.42578125" style="1" bestFit="1" customWidth="1"/>
    <col min="11525" max="11526" width="18.28515625" style="1" bestFit="1" customWidth="1"/>
    <col min="11527" max="11527" width="19" style="1" bestFit="1" customWidth="1"/>
    <col min="11528" max="11528" width="16.28515625" style="1" bestFit="1" customWidth="1"/>
    <col min="11529" max="11530" width="9.140625" style="1"/>
    <col min="11531" max="11531" width="10.28515625" style="1" bestFit="1" customWidth="1"/>
    <col min="11532" max="11777" width="9.140625" style="1"/>
    <col min="11778" max="11778" width="57.28515625" style="1" bestFit="1" customWidth="1"/>
    <col min="11779" max="11779" width="27.42578125" style="1" bestFit="1" customWidth="1"/>
    <col min="11780" max="11780" width="15.42578125" style="1" bestFit="1" customWidth="1"/>
    <col min="11781" max="11782" width="18.28515625" style="1" bestFit="1" customWidth="1"/>
    <col min="11783" max="11783" width="19" style="1" bestFit="1" customWidth="1"/>
    <col min="11784" max="11784" width="16.28515625" style="1" bestFit="1" customWidth="1"/>
    <col min="11785" max="11786" width="9.140625" style="1"/>
    <col min="11787" max="11787" width="10.28515625" style="1" bestFit="1" customWidth="1"/>
    <col min="11788" max="12033" width="9.140625" style="1"/>
    <col min="12034" max="12034" width="57.28515625" style="1" bestFit="1" customWidth="1"/>
    <col min="12035" max="12035" width="27.42578125" style="1" bestFit="1" customWidth="1"/>
    <col min="12036" max="12036" width="15.42578125" style="1" bestFit="1" customWidth="1"/>
    <col min="12037" max="12038" width="18.28515625" style="1" bestFit="1" customWidth="1"/>
    <col min="12039" max="12039" width="19" style="1" bestFit="1" customWidth="1"/>
    <col min="12040" max="12040" width="16.28515625" style="1" bestFit="1" customWidth="1"/>
    <col min="12041" max="12042" width="9.140625" style="1"/>
    <col min="12043" max="12043" width="10.28515625" style="1" bestFit="1" customWidth="1"/>
    <col min="12044" max="12289" width="9.140625" style="1"/>
    <col min="12290" max="12290" width="57.28515625" style="1" bestFit="1" customWidth="1"/>
    <col min="12291" max="12291" width="27.42578125" style="1" bestFit="1" customWidth="1"/>
    <col min="12292" max="12292" width="15.42578125" style="1" bestFit="1" customWidth="1"/>
    <col min="12293" max="12294" width="18.28515625" style="1" bestFit="1" customWidth="1"/>
    <col min="12295" max="12295" width="19" style="1" bestFit="1" customWidth="1"/>
    <col min="12296" max="12296" width="16.28515625" style="1" bestFit="1" customWidth="1"/>
    <col min="12297" max="12298" width="9.140625" style="1"/>
    <col min="12299" max="12299" width="10.28515625" style="1" bestFit="1" customWidth="1"/>
    <col min="12300" max="12545" width="9.140625" style="1"/>
    <col min="12546" max="12546" width="57.28515625" style="1" bestFit="1" customWidth="1"/>
    <col min="12547" max="12547" width="27.42578125" style="1" bestFit="1" customWidth="1"/>
    <col min="12548" max="12548" width="15.42578125" style="1" bestFit="1" customWidth="1"/>
    <col min="12549" max="12550" width="18.28515625" style="1" bestFit="1" customWidth="1"/>
    <col min="12551" max="12551" width="19" style="1" bestFit="1" customWidth="1"/>
    <col min="12552" max="12552" width="16.28515625" style="1" bestFit="1" customWidth="1"/>
    <col min="12553" max="12554" width="9.140625" style="1"/>
    <col min="12555" max="12555" width="10.28515625" style="1" bestFit="1" customWidth="1"/>
    <col min="12556" max="12801" width="9.140625" style="1"/>
    <col min="12802" max="12802" width="57.28515625" style="1" bestFit="1" customWidth="1"/>
    <col min="12803" max="12803" width="27.42578125" style="1" bestFit="1" customWidth="1"/>
    <col min="12804" max="12804" width="15.42578125" style="1" bestFit="1" customWidth="1"/>
    <col min="12805" max="12806" width="18.28515625" style="1" bestFit="1" customWidth="1"/>
    <col min="12807" max="12807" width="19" style="1" bestFit="1" customWidth="1"/>
    <col min="12808" max="12808" width="16.28515625" style="1" bestFit="1" customWidth="1"/>
    <col min="12809" max="12810" width="9.140625" style="1"/>
    <col min="12811" max="12811" width="10.28515625" style="1" bestFit="1" customWidth="1"/>
    <col min="12812" max="13057" width="9.140625" style="1"/>
    <col min="13058" max="13058" width="57.28515625" style="1" bestFit="1" customWidth="1"/>
    <col min="13059" max="13059" width="27.42578125" style="1" bestFit="1" customWidth="1"/>
    <col min="13060" max="13060" width="15.42578125" style="1" bestFit="1" customWidth="1"/>
    <col min="13061" max="13062" width="18.28515625" style="1" bestFit="1" customWidth="1"/>
    <col min="13063" max="13063" width="19" style="1" bestFit="1" customWidth="1"/>
    <col min="13064" max="13064" width="16.28515625" style="1" bestFit="1" customWidth="1"/>
    <col min="13065" max="13066" width="9.140625" style="1"/>
    <col min="13067" max="13067" width="10.28515625" style="1" bestFit="1" customWidth="1"/>
    <col min="13068" max="13313" width="9.140625" style="1"/>
    <col min="13314" max="13314" width="57.28515625" style="1" bestFit="1" customWidth="1"/>
    <col min="13315" max="13315" width="27.42578125" style="1" bestFit="1" customWidth="1"/>
    <col min="13316" max="13316" width="15.42578125" style="1" bestFit="1" customWidth="1"/>
    <col min="13317" max="13318" width="18.28515625" style="1" bestFit="1" customWidth="1"/>
    <col min="13319" max="13319" width="19" style="1" bestFit="1" customWidth="1"/>
    <col min="13320" max="13320" width="16.28515625" style="1" bestFit="1" customWidth="1"/>
    <col min="13321" max="13322" width="9.140625" style="1"/>
    <col min="13323" max="13323" width="10.28515625" style="1" bestFit="1" customWidth="1"/>
    <col min="13324" max="13569" width="9.140625" style="1"/>
    <col min="13570" max="13570" width="57.28515625" style="1" bestFit="1" customWidth="1"/>
    <col min="13571" max="13571" width="27.42578125" style="1" bestFit="1" customWidth="1"/>
    <col min="13572" max="13572" width="15.42578125" style="1" bestFit="1" customWidth="1"/>
    <col min="13573" max="13574" width="18.28515625" style="1" bestFit="1" customWidth="1"/>
    <col min="13575" max="13575" width="19" style="1" bestFit="1" customWidth="1"/>
    <col min="13576" max="13576" width="16.28515625" style="1" bestFit="1" customWidth="1"/>
    <col min="13577" max="13578" width="9.140625" style="1"/>
    <col min="13579" max="13579" width="10.28515625" style="1" bestFit="1" customWidth="1"/>
    <col min="13580" max="13825" width="9.140625" style="1"/>
    <col min="13826" max="13826" width="57.28515625" style="1" bestFit="1" customWidth="1"/>
    <col min="13827" max="13827" width="27.42578125" style="1" bestFit="1" customWidth="1"/>
    <col min="13828" max="13828" width="15.42578125" style="1" bestFit="1" customWidth="1"/>
    <col min="13829" max="13830" width="18.28515625" style="1" bestFit="1" customWidth="1"/>
    <col min="13831" max="13831" width="19" style="1" bestFit="1" customWidth="1"/>
    <col min="13832" max="13832" width="16.28515625" style="1" bestFit="1" customWidth="1"/>
    <col min="13833" max="13834" width="9.140625" style="1"/>
    <col min="13835" max="13835" width="10.28515625" style="1" bestFit="1" customWidth="1"/>
    <col min="13836" max="14081" width="9.140625" style="1"/>
    <col min="14082" max="14082" width="57.28515625" style="1" bestFit="1" customWidth="1"/>
    <col min="14083" max="14083" width="27.42578125" style="1" bestFit="1" customWidth="1"/>
    <col min="14084" max="14084" width="15.42578125" style="1" bestFit="1" customWidth="1"/>
    <col min="14085" max="14086" width="18.28515625" style="1" bestFit="1" customWidth="1"/>
    <col min="14087" max="14087" width="19" style="1" bestFit="1" customWidth="1"/>
    <col min="14088" max="14088" width="16.28515625" style="1" bestFit="1" customWidth="1"/>
    <col min="14089" max="14090" width="9.140625" style="1"/>
    <col min="14091" max="14091" width="10.28515625" style="1" bestFit="1" customWidth="1"/>
    <col min="14092" max="14337" width="9.140625" style="1"/>
    <col min="14338" max="14338" width="57.28515625" style="1" bestFit="1" customWidth="1"/>
    <col min="14339" max="14339" width="27.42578125" style="1" bestFit="1" customWidth="1"/>
    <col min="14340" max="14340" width="15.42578125" style="1" bestFit="1" customWidth="1"/>
    <col min="14341" max="14342" width="18.28515625" style="1" bestFit="1" customWidth="1"/>
    <col min="14343" max="14343" width="19" style="1" bestFit="1" customWidth="1"/>
    <col min="14344" max="14344" width="16.28515625" style="1" bestFit="1" customWidth="1"/>
    <col min="14345" max="14346" width="9.140625" style="1"/>
    <col min="14347" max="14347" width="10.28515625" style="1" bestFit="1" customWidth="1"/>
    <col min="14348" max="14593" width="9.140625" style="1"/>
    <col min="14594" max="14594" width="57.28515625" style="1" bestFit="1" customWidth="1"/>
    <col min="14595" max="14595" width="27.42578125" style="1" bestFit="1" customWidth="1"/>
    <col min="14596" max="14596" width="15.42578125" style="1" bestFit="1" customWidth="1"/>
    <col min="14597" max="14598" width="18.28515625" style="1" bestFit="1" customWidth="1"/>
    <col min="14599" max="14599" width="19" style="1" bestFit="1" customWidth="1"/>
    <col min="14600" max="14600" width="16.28515625" style="1" bestFit="1" customWidth="1"/>
    <col min="14601" max="14602" width="9.140625" style="1"/>
    <col min="14603" max="14603" width="10.28515625" style="1" bestFit="1" customWidth="1"/>
    <col min="14604" max="14849" width="9.140625" style="1"/>
    <col min="14850" max="14850" width="57.28515625" style="1" bestFit="1" customWidth="1"/>
    <col min="14851" max="14851" width="27.42578125" style="1" bestFit="1" customWidth="1"/>
    <col min="14852" max="14852" width="15.42578125" style="1" bestFit="1" customWidth="1"/>
    <col min="14853" max="14854" width="18.28515625" style="1" bestFit="1" customWidth="1"/>
    <col min="14855" max="14855" width="19" style="1" bestFit="1" customWidth="1"/>
    <col min="14856" max="14856" width="16.28515625" style="1" bestFit="1" customWidth="1"/>
    <col min="14857" max="14858" width="9.140625" style="1"/>
    <col min="14859" max="14859" width="10.28515625" style="1" bestFit="1" customWidth="1"/>
    <col min="14860" max="15105" width="9.140625" style="1"/>
    <col min="15106" max="15106" width="57.28515625" style="1" bestFit="1" customWidth="1"/>
    <col min="15107" max="15107" width="27.42578125" style="1" bestFit="1" customWidth="1"/>
    <col min="15108" max="15108" width="15.42578125" style="1" bestFit="1" customWidth="1"/>
    <col min="15109" max="15110" width="18.28515625" style="1" bestFit="1" customWidth="1"/>
    <col min="15111" max="15111" width="19" style="1" bestFit="1" customWidth="1"/>
    <col min="15112" max="15112" width="16.28515625" style="1" bestFit="1" customWidth="1"/>
    <col min="15113" max="15114" width="9.140625" style="1"/>
    <col min="15115" max="15115" width="10.28515625" style="1" bestFit="1" customWidth="1"/>
    <col min="15116" max="15361" width="9.140625" style="1"/>
    <col min="15362" max="15362" width="57.28515625" style="1" bestFit="1" customWidth="1"/>
    <col min="15363" max="15363" width="27.42578125" style="1" bestFit="1" customWidth="1"/>
    <col min="15364" max="15364" width="15.42578125" style="1" bestFit="1" customWidth="1"/>
    <col min="15365" max="15366" width="18.28515625" style="1" bestFit="1" customWidth="1"/>
    <col min="15367" max="15367" width="19" style="1" bestFit="1" customWidth="1"/>
    <col min="15368" max="15368" width="16.28515625" style="1" bestFit="1" customWidth="1"/>
    <col min="15369" max="15370" width="9.140625" style="1"/>
    <col min="15371" max="15371" width="10.28515625" style="1" bestFit="1" customWidth="1"/>
    <col min="15372" max="15617" width="9.140625" style="1"/>
    <col min="15618" max="15618" width="57.28515625" style="1" bestFit="1" customWidth="1"/>
    <col min="15619" max="15619" width="27.42578125" style="1" bestFit="1" customWidth="1"/>
    <col min="15620" max="15620" width="15.42578125" style="1" bestFit="1" customWidth="1"/>
    <col min="15621" max="15622" width="18.28515625" style="1" bestFit="1" customWidth="1"/>
    <col min="15623" max="15623" width="19" style="1" bestFit="1" customWidth="1"/>
    <col min="15624" max="15624" width="16.28515625" style="1" bestFit="1" customWidth="1"/>
    <col min="15625" max="15626" width="9.140625" style="1"/>
    <col min="15627" max="15627" width="10.28515625" style="1" bestFit="1" customWidth="1"/>
    <col min="15628" max="15873" width="9.140625" style="1"/>
    <col min="15874" max="15874" width="57.28515625" style="1" bestFit="1" customWidth="1"/>
    <col min="15875" max="15875" width="27.42578125" style="1" bestFit="1" customWidth="1"/>
    <col min="15876" max="15876" width="15.42578125" style="1" bestFit="1" customWidth="1"/>
    <col min="15877" max="15878" width="18.28515625" style="1" bestFit="1" customWidth="1"/>
    <col min="15879" max="15879" width="19" style="1" bestFit="1" customWidth="1"/>
    <col min="15880" max="15880" width="16.28515625" style="1" bestFit="1" customWidth="1"/>
    <col min="15881" max="15882" width="9.140625" style="1"/>
    <col min="15883" max="15883" width="10.28515625" style="1" bestFit="1" customWidth="1"/>
    <col min="15884" max="16129" width="9.140625" style="1"/>
    <col min="16130" max="16130" width="57.28515625" style="1" bestFit="1" customWidth="1"/>
    <col min="16131" max="16131" width="27.42578125" style="1" bestFit="1" customWidth="1"/>
    <col min="16132" max="16132" width="15.42578125" style="1" bestFit="1" customWidth="1"/>
    <col min="16133" max="16134" width="18.28515625" style="1" bestFit="1" customWidth="1"/>
    <col min="16135" max="16135" width="19" style="1" bestFit="1" customWidth="1"/>
    <col min="16136" max="16136" width="16.28515625" style="1" bestFit="1" customWidth="1"/>
    <col min="16137" max="16138" width="9.140625" style="1"/>
    <col min="16139" max="16139" width="10.28515625" style="1" bestFit="1" customWidth="1"/>
    <col min="16140" max="16384" width="9.140625" style="1"/>
  </cols>
  <sheetData>
    <row r="2" spans="2:12" x14ac:dyDescent="0.2">
      <c r="I2" s="4"/>
    </row>
    <row r="4" spans="2:12" s="2" customFormat="1" ht="45" x14ac:dyDescent="0.2">
      <c r="D4" s="151" t="s">
        <v>2</v>
      </c>
      <c r="E4" s="151" t="s">
        <v>153</v>
      </c>
      <c r="F4" s="151" t="s">
        <v>154</v>
      </c>
      <c r="G4" s="151" t="s">
        <v>155</v>
      </c>
      <c r="H4" s="151" t="s">
        <v>156</v>
      </c>
      <c r="I4" s="2" t="s">
        <v>11</v>
      </c>
      <c r="J4" s="174"/>
    </row>
    <row r="5" spans="2:12" x14ac:dyDescent="0.2">
      <c r="C5" s="1" t="s">
        <v>12</v>
      </c>
      <c r="E5" s="4">
        <f>+'MD Fees CHIR'!B26</f>
        <v>3661.9630000000002</v>
      </c>
      <c r="F5" s="4">
        <f>+'MD Fees CHIR'!B27</f>
        <v>10751.003000000001</v>
      </c>
      <c r="G5" s="4">
        <f>E99</f>
        <v>19307265.847737942</v>
      </c>
      <c r="H5" s="4">
        <f>F99</f>
        <v>22520908.152262058</v>
      </c>
      <c r="I5" s="4">
        <f>SUM(E5:H5)</f>
        <v>41842586.965999998</v>
      </c>
      <c r="J5" s="14"/>
      <c r="K5" s="229">
        <f>+'[3]Summary Category RPW Data'!$C$135</f>
        <v>41828174</v>
      </c>
    </row>
    <row r="6" spans="2:12" x14ac:dyDescent="0.2">
      <c r="C6" s="1" t="s">
        <v>13</v>
      </c>
      <c r="D6" s="4"/>
      <c r="E6" s="4">
        <f>+D72+D46+D75+D41+D34+D33+D26+D25+D84</f>
        <v>1047445.7989999999</v>
      </c>
      <c r="F6" s="4">
        <f>+D82+D68+D67+D64+D63+D59+D58+D55+D54+D45+D44+D40+D39+D30+D22+D18+D17+D14+D13</f>
        <v>70431270.047999993</v>
      </c>
      <c r="G6" s="4">
        <f>SUM(D13:D14,D22:D23,D25:D26,D39:D41,D54:D55,D63:D64,D72:D73)+D82</f>
        <v>66629364.322000012</v>
      </c>
      <c r="H6" s="4">
        <f>SUM(D17:D18,D30:D31,D33:D34,D44:D46,D58:D59,D67:D68,D75:D76)</f>
        <v>13358416.165999999</v>
      </c>
      <c r="J6" s="14"/>
      <c r="K6" s="4">
        <f>+G5</f>
        <v>19307265.847737942</v>
      </c>
    </row>
    <row r="7" spans="2:12" x14ac:dyDescent="0.2">
      <c r="E7" s="4">
        <f>SUM(E10:E84)</f>
        <v>3661.9630000000006</v>
      </c>
      <c r="F7" s="4">
        <f>SUM(F10:F83)</f>
        <v>10751.003000000001</v>
      </c>
      <c r="G7" s="4">
        <f>SUM(G10:G83)</f>
        <v>19307265.847737938</v>
      </c>
      <c r="H7" s="4">
        <f>SUM(H10:H83)</f>
        <v>22520908.152262058</v>
      </c>
      <c r="I7" s="4">
        <f>+I85</f>
        <v>41842586.966000006</v>
      </c>
      <c r="J7" s="14"/>
      <c r="K7" s="4">
        <f>+K5-K6</f>
        <v>22520908.152262058</v>
      </c>
    </row>
    <row r="8" spans="2:12" x14ac:dyDescent="0.2">
      <c r="E8" s="5" t="str">
        <f>IF(E7=E5, "Good","Error")</f>
        <v>Good</v>
      </c>
      <c r="F8" s="5" t="str">
        <f>IF(F7=F5, "Good","Error")</f>
        <v>Good</v>
      </c>
      <c r="G8" s="5" t="str">
        <f>IF(G7=G5, "Good","Error")</f>
        <v>Good</v>
      </c>
      <c r="H8" s="5" t="str">
        <f>IF(H7=H5, "Good","Error")</f>
        <v>Good</v>
      </c>
      <c r="J8" s="14"/>
    </row>
    <row r="9" spans="2:12" x14ac:dyDescent="0.2">
      <c r="J9" s="14"/>
    </row>
    <row r="10" spans="2:12" ht="15.75" x14ac:dyDescent="0.25">
      <c r="C10" s="6" t="s">
        <v>51</v>
      </c>
      <c r="D10" s="6"/>
      <c r="J10" s="14"/>
    </row>
    <row r="11" spans="2:12" ht="15.75" x14ac:dyDescent="0.25">
      <c r="C11" s="6" t="s">
        <v>52</v>
      </c>
      <c r="D11" s="6"/>
      <c r="J11" s="14"/>
    </row>
    <row r="12" spans="2:12" ht="15.75" x14ac:dyDescent="0.25">
      <c r="C12" s="92" t="s">
        <v>53</v>
      </c>
      <c r="D12" s="92"/>
      <c r="J12" s="14"/>
      <c r="K12" s="4"/>
    </row>
    <row r="13" spans="2:12" x14ac:dyDescent="0.2">
      <c r="B13" s="10"/>
      <c r="C13" s="10" t="s">
        <v>54</v>
      </c>
      <c r="D13" s="220">
        <f>+'[3]Summary Category RPW Data'!$F$55/1000</f>
        <v>2543976.1030000001</v>
      </c>
      <c r="E13" s="82" t="s">
        <v>150</v>
      </c>
      <c r="F13" s="8">
        <f>+$D13/F$6*F$5</f>
        <v>388.32601906286317</v>
      </c>
      <c r="G13" s="8">
        <f>+$D13/G$6*G$5</f>
        <v>737170.81696208823</v>
      </c>
      <c r="H13" s="82" t="s">
        <v>150</v>
      </c>
      <c r="I13" s="8">
        <f>SUM(E13:H13)</f>
        <v>737559.14298115112</v>
      </c>
      <c r="J13" s="14"/>
      <c r="K13" s="1" t="s">
        <v>178</v>
      </c>
      <c r="L13" s="230">
        <f>+[6]Standard!$D$111*1000</f>
        <v>16929031638</v>
      </c>
    </row>
    <row r="14" spans="2:12" x14ac:dyDescent="0.2">
      <c r="B14" s="10"/>
      <c r="C14" s="10" t="s">
        <v>55</v>
      </c>
      <c r="D14" s="220">
        <f>+'[3]Summary Category RPW Data'!$F$57/1000</f>
        <v>2286287.2390000001</v>
      </c>
      <c r="E14" s="82" t="s">
        <v>150</v>
      </c>
      <c r="F14" s="8">
        <f>+$D14/F$6*F$5</f>
        <v>348.99102271759625</v>
      </c>
      <c r="G14" s="8">
        <f>+$D14/G$6*G$5</f>
        <v>662500.02497905819</v>
      </c>
      <c r="H14" s="82" t="s">
        <v>150</v>
      </c>
      <c r="I14" s="94">
        <f>SUM(E14:H14)</f>
        <v>662849.01600177574</v>
      </c>
      <c r="J14" s="14"/>
      <c r="K14" s="1" t="s">
        <v>215</v>
      </c>
      <c r="L14" s="230">
        <f>+N29</f>
        <v>44729030.306626789</v>
      </c>
    </row>
    <row r="15" spans="2:12" ht="15.75" x14ac:dyDescent="0.25">
      <c r="B15" s="95"/>
      <c r="C15" s="95" t="s">
        <v>56</v>
      </c>
      <c r="D15" s="93">
        <f>D14+D13</f>
        <v>4830263.3420000002</v>
      </c>
      <c r="I15" s="9">
        <f>SUM(I13:I14)</f>
        <v>1400408.158982927</v>
      </c>
      <c r="J15" s="14"/>
      <c r="L15" s="230">
        <f>+L13-L14</f>
        <v>16884302607.693373</v>
      </c>
    </row>
    <row r="16" spans="2:12" ht="15.75" x14ac:dyDescent="0.25">
      <c r="B16" s="92"/>
      <c r="C16" s="92" t="s">
        <v>57</v>
      </c>
      <c r="D16" s="96"/>
      <c r="F16" s="4"/>
      <c r="J16" s="14"/>
    </row>
    <row r="17" spans="2:19" x14ac:dyDescent="0.2">
      <c r="B17" s="10"/>
      <c r="C17" s="10" t="s">
        <v>54</v>
      </c>
      <c r="D17" s="220">
        <f>+'[3]Summary Category RPW Data'!$F$59/1000</f>
        <v>196729.21</v>
      </c>
      <c r="E17" s="82" t="s">
        <v>150</v>
      </c>
      <c r="F17" s="8">
        <f>+$D17/F$6*F$5</f>
        <v>30.029791106367956</v>
      </c>
      <c r="G17" s="82" t="s">
        <v>150</v>
      </c>
      <c r="H17" s="8">
        <f>+$D17/H$6*H$5</f>
        <v>331665.10267539707</v>
      </c>
      <c r="I17" s="8">
        <f>SUM(E17:H17)</f>
        <v>331695.13246650342</v>
      </c>
      <c r="J17" s="14"/>
      <c r="K17" s="276"/>
      <c r="L17" s="277"/>
      <c r="M17" s="277"/>
      <c r="N17" s="277"/>
      <c r="O17" s="277"/>
      <c r="P17" s="276"/>
      <c r="Q17" s="277" t="s">
        <v>243</v>
      </c>
      <c r="R17" s="277"/>
      <c r="S17" s="278"/>
    </row>
    <row r="18" spans="2:19" x14ac:dyDescent="0.2">
      <c r="B18" s="10"/>
      <c r="C18" s="10" t="s">
        <v>58</v>
      </c>
      <c r="D18" s="220">
        <f>+'[3]Summary Category RPW Data'!$F$61/1000</f>
        <v>684641.96100000001</v>
      </c>
      <c r="E18" s="82" t="s">
        <v>150</v>
      </c>
      <c r="F18" s="8">
        <f>+$D18/F$6*F$5</f>
        <v>104.50738388815834</v>
      </c>
      <c r="G18" s="82" t="s">
        <v>150</v>
      </c>
      <c r="H18" s="8">
        <f>+$D18/H$6*H$5</f>
        <v>1154235.5417934645</v>
      </c>
      <c r="I18" s="94">
        <f>SUM(E18:H18)</f>
        <v>1154340.0491773526</v>
      </c>
      <c r="J18" s="14"/>
      <c r="K18" s="291"/>
      <c r="L18" s="14"/>
      <c r="M18" s="14"/>
      <c r="N18" s="14"/>
      <c r="O18" s="14"/>
      <c r="P18" s="279"/>
      <c r="Q18" s="14"/>
      <c r="R18" s="14"/>
      <c r="S18" s="280"/>
    </row>
    <row r="19" spans="2:19" ht="16.5" thickBot="1" x14ac:dyDescent="0.3">
      <c r="B19" s="95"/>
      <c r="C19" s="95" t="s">
        <v>59</v>
      </c>
      <c r="D19" s="97">
        <f>D18+D17</f>
        <v>881371.17099999997</v>
      </c>
      <c r="I19" s="98">
        <f>SUM(I17:I18)</f>
        <v>1486035.181643856</v>
      </c>
      <c r="J19" s="14"/>
      <c r="K19" s="291"/>
      <c r="L19" s="14" t="s">
        <v>226</v>
      </c>
      <c r="M19" s="14"/>
      <c r="N19" s="14" t="s">
        <v>227</v>
      </c>
      <c r="O19" s="14" t="s">
        <v>228</v>
      </c>
      <c r="P19" s="279" t="s">
        <v>229</v>
      </c>
      <c r="Q19" s="14" t="s">
        <v>245</v>
      </c>
      <c r="R19" s="14" t="s">
        <v>244</v>
      </c>
      <c r="S19" s="280" t="s">
        <v>246</v>
      </c>
    </row>
    <row r="20" spans="2:19" ht="15.75" x14ac:dyDescent="0.25">
      <c r="B20" s="95"/>
      <c r="C20" s="95" t="s">
        <v>60</v>
      </c>
      <c r="D20" s="93">
        <f>D15+D19</f>
        <v>5711634.5130000003</v>
      </c>
      <c r="I20" s="9">
        <f>SUM(I19,I15)</f>
        <v>2886443.3406267827</v>
      </c>
      <c r="J20" s="14"/>
      <c r="K20" s="292" t="s">
        <v>217</v>
      </c>
      <c r="L20" s="220">
        <v>5711634.5130000003</v>
      </c>
      <c r="M20" s="293">
        <f>+L20/$L$29</f>
        <v>7.054651520222073E-2</v>
      </c>
      <c r="N20" s="282">
        <f>+I20</f>
        <v>2886443.3406267827</v>
      </c>
      <c r="O20" s="293">
        <f>+$L$15*M20</f>
        <v>1191128710.5925357</v>
      </c>
      <c r="P20" s="281">
        <f t="shared" ref="P20:P26" si="0">+N20+O20</f>
        <v>1194015153.9331625</v>
      </c>
      <c r="Q20" s="282">
        <f>+'MD Distribution CHIR Q7'!E43</f>
        <v>3302981.1231705691</v>
      </c>
      <c r="R20" s="282">
        <f>-$Q$32*M20</f>
        <v>70543.790182351353</v>
      </c>
      <c r="S20" s="283">
        <v>3373524.9133529202</v>
      </c>
    </row>
    <row r="21" spans="2:19" ht="15.75" x14ac:dyDescent="0.25">
      <c r="B21" s="92"/>
      <c r="C21" s="92" t="s">
        <v>61</v>
      </c>
      <c r="D21" s="96"/>
      <c r="J21" s="14"/>
      <c r="K21" s="292" t="s">
        <v>218</v>
      </c>
      <c r="L21" s="220">
        <v>11337794.242000001</v>
      </c>
      <c r="M21" s="293">
        <f t="shared" ref="M21:M28" si="1">+L21/$L$29</f>
        <v>0.14003729966131739</v>
      </c>
      <c r="N21" s="282">
        <f>+I37</f>
        <v>7031102.3051073737</v>
      </c>
      <c r="O21" s="293">
        <f t="shared" ref="O21:O28" si="2">+$L$15*M21</f>
        <v>2364432143.8459196</v>
      </c>
      <c r="P21" s="281">
        <f t="shared" si="0"/>
        <v>2371463246.1510272</v>
      </c>
      <c r="Q21" s="282">
        <f>+'MD Distribution CHIR Q7'!E44</f>
        <v>3807604.6279663146</v>
      </c>
      <c r="R21" s="282">
        <f t="shared" ref="R21:R28" si="3">-$Q$32*M21</f>
        <v>140031.89040158378</v>
      </c>
      <c r="S21" s="283">
        <v>3947636.5183678982</v>
      </c>
    </row>
    <row r="22" spans="2:19" x14ac:dyDescent="0.2">
      <c r="B22" s="10"/>
      <c r="C22" s="10" t="s">
        <v>62</v>
      </c>
      <c r="D22" s="220">
        <f>+'[3]Summary Category RPW Data'!$F$65/1000</f>
        <v>1700176.969</v>
      </c>
      <c r="E22" s="82" t="s">
        <v>150</v>
      </c>
      <c r="F22" s="8">
        <f>+$D22/F$6*F$5</f>
        <v>259.52403927676949</v>
      </c>
      <c r="G22" s="8">
        <f>+$D22/G$6*G$5</f>
        <v>492662.19275403977</v>
      </c>
      <c r="H22" s="82" t="s">
        <v>150</v>
      </c>
      <c r="I22" s="8">
        <f>SUM(E22:H22)</f>
        <v>492921.71679331653</v>
      </c>
      <c r="J22" s="14"/>
      <c r="K22" s="292" t="s">
        <v>219</v>
      </c>
      <c r="L22" s="220">
        <v>974774.14099999995</v>
      </c>
      <c r="M22" s="293">
        <f t="shared" si="1"/>
        <v>1.2039796769255944E-2</v>
      </c>
      <c r="N22" s="282">
        <f>+E84</f>
        <v>3407.8964669166462</v>
      </c>
      <c r="O22" s="293">
        <f t="shared" si="2"/>
        <v>203283571.98724636</v>
      </c>
      <c r="P22" s="281">
        <f t="shared" si="0"/>
        <v>203286979.88371328</v>
      </c>
      <c r="Q22" s="282">
        <v>0</v>
      </c>
      <c r="R22" s="282">
        <f t="shared" si="3"/>
        <v>12039.331704676561</v>
      </c>
      <c r="S22" s="280">
        <v>0</v>
      </c>
    </row>
    <row r="23" spans="2:19" x14ac:dyDescent="0.2">
      <c r="B23" s="10"/>
      <c r="C23" s="10" t="s">
        <v>63</v>
      </c>
      <c r="D23" s="220">
        <f>+'[3]Summary Category RPW Data'!$F$67/1000</f>
        <v>9022056.5370000005</v>
      </c>
      <c r="E23" s="82" t="s">
        <v>150</v>
      </c>
      <c r="F23" s="82" t="s">
        <v>150</v>
      </c>
      <c r="G23" s="8">
        <f>+$D23/G$6*G$5</f>
        <v>2614331.4712018892</v>
      </c>
      <c r="H23" s="82" t="s">
        <v>150</v>
      </c>
      <c r="I23" s="94">
        <f>SUM(E23:H23)</f>
        <v>2614331.4712018892</v>
      </c>
      <c r="J23" s="14"/>
      <c r="K23" s="292" t="s">
        <v>220</v>
      </c>
      <c r="L23" s="220">
        <v>9507627.1080000009</v>
      </c>
      <c r="M23" s="293">
        <f t="shared" si="1"/>
        <v>0.11743222693695632</v>
      </c>
      <c r="N23" s="282">
        <f>+I48</f>
        <v>3966904.9588198666</v>
      </c>
      <c r="O23" s="293">
        <f t="shared" si="2"/>
        <v>1982761255.4988916</v>
      </c>
      <c r="P23" s="281">
        <f t="shared" si="0"/>
        <v>1986728160.4577115</v>
      </c>
      <c r="Q23" s="282">
        <f>+'MD Distribution CHIR Q7'!E46</f>
        <v>5049012.0719469702</v>
      </c>
      <c r="R23" s="282">
        <f t="shared" si="3"/>
        <v>117427.69084965576</v>
      </c>
      <c r="S23" s="283">
        <v>5166439.7627966255</v>
      </c>
    </row>
    <row r="24" spans="2:19" ht="15.75" x14ac:dyDescent="0.25">
      <c r="B24" s="95"/>
      <c r="C24" s="95" t="s">
        <v>64</v>
      </c>
      <c r="D24" s="99">
        <f>D23+D22</f>
        <v>10722233.506000001</v>
      </c>
      <c r="I24" s="8">
        <f>SUM(I22:I23)</f>
        <v>3107253.1879952056</v>
      </c>
      <c r="J24" s="14"/>
      <c r="K24" s="292" t="s">
        <v>221</v>
      </c>
      <c r="L24" s="220">
        <v>46754272.979000002</v>
      </c>
      <c r="M24" s="293">
        <f t="shared" si="1"/>
        <v>0.57747935761200575</v>
      </c>
      <c r="N24" s="282">
        <f>+I61</f>
        <v>27190833.960350435</v>
      </c>
      <c r="O24" s="293">
        <f t="shared" si="2"/>
        <v>9750336223.6174831</v>
      </c>
      <c r="P24" s="281">
        <f t="shared" si="0"/>
        <v>9777527057.5778332</v>
      </c>
      <c r="Q24" s="282">
        <f>+'MD Distribution CHIR Q7'!E47</f>
        <v>34277214.687875785</v>
      </c>
      <c r="R24" s="282">
        <f t="shared" si="3"/>
        <v>577457.05115619942</v>
      </c>
      <c r="S24" s="283">
        <v>34866711.070736662</v>
      </c>
    </row>
    <row r="25" spans="2:19" x14ac:dyDescent="0.2">
      <c r="B25" s="10"/>
      <c r="C25" s="10" t="s">
        <v>65</v>
      </c>
      <c r="D25" s="220">
        <f>+'[3]Summary Category RPW Data'!$F$76/1000</f>
        <v>19.809999999999999</v>
      </c>
      <c r="E25" s="8">
        <f>+$D25/E$6*E$5</f>
        <v>6.9257509170648754E-2</v>
      </c>
      <c r="F25" s="82" t="s">
        <v>150</v>
      </c>
      <c r="G25" s="8">
        <f>+$D25/G$6*G$5</f>
        <v>5.7403659833116629</v>
      </c>
      <c r="H25" s="82" t="s">
        <v>150</v>
      </c>
      <c r="I25" s="8">
        <f>SUM(E25:H25)</f>
        <v>5.809623492482312</v>
      </c>
      <c r="J25" s="14"/>
      <c r="K25" s="292" t="s">
        <v>222</v>
      </c>
      <c r="L25" s="220">
        <v>5568019.4130000006</v>
      </c>
      <c r="M25" s="293">
        <f t="shared" si="1"/>
        <v>6.8772671863267854E-2</v>
      </c>
      <c r="N25" s="282">
        <f>+I70</f>
        <v>3305433.9554483555</v>
      </c>
      <c r="O25" s="293">
        <f t="shared" si="2"/>
        <v>1161178602.879014</v>
      </c>
      <c r="P25" s="281">
        <f t="shared" si="0"/>
        <v>1164484036.8344624</v>
      </c>
      <c r="Q25" s="282">
        <f>+'MD Distribution CHIR Q7'!E48</f>
        <v>4169539.8693666528</v>
      </c>
      <c r="R25" s="282">
        <f t="shared" si="3"/>
        <v>68770.015362138627</v>
      </c>
      <c r="S25" s="283">
        <v>4238309.8847287912</v>
      </c>
    </row>
    <row r="26" spans="2:19" x14ac:dyDescent="0.2">
      <c r="B26" s="10"/>
      <c r="C26" s="10" t="s">
        <v>66</v>
      </c>
      <c r="D26" s="220">
        <f>+'[3]Summary Category RPW Data'!$F$78/1000</f>
        <v>259.803</v>
      </c>
      <c r="E26" s="8">
        <f>+$D26/E$6*E$5</f>
        <v>0.90829422791832704</v>
      </c>
      <c r="F26" s="82" t="s">
        <v>150</v>
      </c>
      <c r="G26" s="8">
        <f>+$D26/G$6*G$5</f>
        <v>75.283407549839467</v>
      </c>
      <c r="H26" s="82" t="s">
        <v>150</v>
      </c>
      <c r="I26" s="94">
        <f>SUM(E26:H26)</f>
        <v>76.1917017777578</v>
      </c>
      <c r="J26" s="14"/>
      <c r="K26" s="292" t="s">
        <v>223</v>
      </c>
      <c r="L26" s="220">
        <v>71966.231999999989</v>
      </c>
      <c r="M26" s="293">
        <f t="shared" si="1"/>
        <v>8.8888160968267186E-4</v>
      </c>
      <c r="N26" s="282">
        <f>+I78</f>
        <v>44407.759153476763</v>
      </c>
      <c r="O26" s="293">
        <f t="shared" si="2"/>
        <v>15008146.08029582</v>
      </c>
      <c r="P26" s="281">
        <f t="shared" si="0"/>
        <v>15052553.839449296</v>
      </c>
      <c r="Q26" s="282">
        <f>+'MD Distribution CHIR Q7'!E49</f>
        <v>4113066.1982131628</v>
      </c>
      <c r="R26" s="282">
        <f t="shared" si="3"/>
        <v>888.84727460544002</v>
      </c>
      <c r="S26" s="283">
        <v>4113955.0454877685</v>
      </c>
    </row>
    <row r="27" spans="2:19" ht="16.5" thickBot="1" x14ac:dyDescent="0.3">
      <c r="B27" s="95"/>
      <c r="C27" s="95" t="s">
        <v>67</v>
      </c>
      <c r="D27" s="97">
        <f>D26+D25</f>
        <v>279.613</v>
      </c>
      <c r="I27" s="83">
        <f>SUM(I25:I26)</f>
        <v>82.001325270240116</v>
      </c>
      <c r="J27" s="14"/>
      <c r="K27" s="292" t="s">
        <v>224</v>
      </c>
      <c r="L27" s="220">
        <v>1036466.001</v>
      </c>
      <c r="M27" s="293">
        <f t="shared" si="1"/>
        <v>1.2801775801604312E-2</v>
      </c>
      <c r="N27" s="282">
        <f>+I82</f>
        <v>300496.13065357512</v>
      </c>
      <c r="O27" s="293">
        <f t="shared" si="2"/>
        <v>216149056.55013362</v>
      </c>
      <c r="P27" s="281">
        <f>+N27+O27+O28</f>
        <v>216474449.32263869</v>
      </c>
      <c r="Q27" s="282">
        <f>+'MD Distribution CHIR Q7'!E50</f>
        <v>530384.04873875726</v>
      </c>
      <c r="R27" s="282">
        <f t="shared" si="3"/>
        <v>12801.281303848858</v>
      </c>
      <c r="S27" s="283">
        <v>543186.80452933733</v>
      </c>
    </row>
    <row r="28" spans="2:19" ht="16.5" thickBot="1" x14ac:dyDescent="0.3">
      <c r="B28" s="95"/>
      <c r="C28" s="95" t="s">
        <v>68</v>
      </c>
      <c r="D28" s="93">
        <f>D24+D27</f>
        <v>10722513.119000001</v>
      </c>
      <c r="I28" s="8">
        <f>SUM(I27,I24)</f>
        <v>3107335.1893204758</v>
      </c>
      <c r="J28" s="14"/>
      <c r="K28" s="294" t="s">
        <v>225</v>
      </c>
      <c r="L28" s="248">
        <v>119.383</v>
      </c>
      <c r="M28" s="293">
        <f t="shared" si="1"/>
        <v>1.4745436888893449E-6</v>
      </c>
      <c r="N28" s="282">
        <v>0</v>
      </c>
      <c r="O28" s="293">
        <f t="shared" si="2"/>
        <v>24896.64185147217</v>
      </c>
      <c r="P28" s="281">
        <v>0</v>
      </c>
      <c r="Q28" s="282">
        <f>+'MD Distribution CHIR Q7'!E51</f>
        <v>0</v>
      </c>
      <c r="R28" s="282">
        <f t="shared" si="3"/>
        <v>1.4744867312800432</v>
      </c>
      <c r="S28" s="280"/>
    </row>
    <row r="29" spans="2:19" ht="16.5" thickTop="1" x14ac:dyDescent="0.25">
      <c r="B29" s="92"/>
      <c r="C29" s="92" t="s">
        <v>69</v>
      </c>
      <c r="D29" s="96"/>
      <c r="J29" s="14"/>
      <c r="K29" s="279"/>
      <c r="L29" s="293">
        <f>SUM(L20:L28)</f>
        <v>80962674.012000009</v>
      </c>
      <c r="M29" s="14"/>
      <c r="N29" s="282">
        <f>SUM(N20:N28)</f>
        <v>44729030.306626789</v>
      </c>
      <c r="O29" s="14"/>
      <c r="P29" s="281">
        <f>SUM(P20:P28)</f>
        <v>16929031638</v>
      </c>
      <c r="Q29" s="282">
        <f>SUM(Q20:Q28)</f>
        <v>55249802.627278209</v>
      </c>
      <c r="R29" s="282">
        <f>SUM(R20:R28)</f>
        <v>999961.37272179103</v>
      </c>
      <c r="S29" s="283">
        <v>56249764.000000007</v>
      </c>
    </row>
    <row r="30" spans="2:19" x14ac:dyDescent="0.2">
      <c r="B30" s="10"/>
      <c r="C30" s="10" t="s">
        <v>62</v>
      </c>
      <c r="D30" s="220">
        <f>+'[3]Summary Category RPW Data'!$F$69/1000</f>
        <v>153498.22700000001</v>
      </c>
      <c r="E30" s="82" t="s">
        <v>150</v>
      </c>
      <c r="F30" s="8">
        <f>+$D30/F$6*F$5</f>
        <v>23.430784335523182</v>
      </c>
      <c r="G30" s="82" t="s">
        <v>150</v>
      </c>
      <c r="H30" s="8">
        <f>+$D30/H$6*H$5</f>
        <v>258782.13620868206</v>
      </c>
      <c r="I30" s="8">
        <f>SUM(E30:H30)</f>
        <v>258805.56699301759</v>
      </c>
      <c r="J30" s="14"/>
      <c r="K30" s="279"/>
      <c r="L30" s="14"/>
      <c r="M30" s="14"/>
      <c r="N30" s="14"/>
      <c r="O30" s="14"/>
      <c r="P30" s="279"/>
      <c r="Q30" s="14"/>
      <c r="R30" s="14"/>
      <c r="S30" s="280"/>
    </row>
    <row r="31" spans="2:19" x14ac:dyDescent="0.2">
      <c r="B31" s="10"/>
      <c r="C31" s="10" t="s">
        <v>63</v>
      </c>
      <c r="D31" s="220">
        <f>+'[3]Summary Category RPW Data'!$F$72/1000</f>
        <v>461782.245</v>
      </c>
      <c r="E31" s="82" t="s">
        <v>150</v>
      </c>
      <c r="F31" s="82" t="s">
        <v>150</v>
      </c>
      <c r="G31" s="82" t="s">
        <v>150</v>
      </c>
      <c r="H31" s="8">
        <f>+$D31/H$6*H$5</f>
        <v>778517.1083724699</v>
      </c>
      <c r="I31" s="94">
        <f>SUM(E31:H31)</f>
        <v>778517.1083724699</v>
      </c>
      <c r="J31" s="14"/>
      <c r="K31" s="279"/>
      <c r="L31" s="14"/>
      <c r="M31" s="14"/>
      <c r="N31" s="14"/>
      <c r="O31" s="14" t="s">
        <v>212</v>
      </c>
      <c r="P31" s="281">
        <f>+L13</f>
        <v>16929031638</v>
      </c>
      <c r="Q31" s="284">
        <f>+'[3]PRC RPW'!$B$55*1000</f>
        <v>56249764</v>
      </c>
      <c r="R31" s="14"/>
      <c r="S31" s="283">
        <v>-16872781874</v>
      </c>
    </row>
    <row r="32" spans="2:19" ht="15.75" x14ac:dyDescent="0.25">
      <c r="B32" s="95"/>
      <c r="C32" s="95" t="s">
        <v>70</v>
      </c>
      <c r="D32" s="93">
        <f>D30+D31</f>
        <v>615280.47200000007</v>
      </c>
      <c r="I32" s="8">
        <f>SUM(I30:I31)</f>
        <v>1037322.6753654875</v>
      </c>
      <c r="J32" s="14"/>
      <c r="K32" s="279"/>
      <c r="L32" s="14"/>
      <c r="M32" s="14"/>
      <c r="N32" s="14"/>
      <c r="O32" s="14" t="s">
        <v>205</v>
      </c>
      <c r="P32" s="279"/>
      <c r="Q32" s="282">
        <f>+Q29-Q31</f>
        <v>-999961.37272179127</v>
      </c>
      <c r="R32" s="14"/>
      <c r="S32" s="280"/>
    </row>
    <row r="33" spans="2:19" x14ac:dyDescent="0.2">
      <c r="B33" s="10"/>
      <c r="C33" s="10" t="s">
        <v>65</v>
      </c>
      <c r="D33" s="220">
        <f>+'[3]Summary Category RPW Data'!$E$78/1000</f>
        <v>0.65100000000000002</v>
      </c>
      <c r="E33" s="8">
        <f>+$D33/E$6*E$5</f>
        <v>2.2759534815796232E-3</v>
      </c>
      <c r="F33" s="82" t="s">
        <v>150</v>
      </c>
      <c r="G33" s="82" t="s">
        <v>150</v>
      </c>
      <c r="H33" s="8">
        <f>+$D33/H$6*H$5</f>
        <v>1.0975186747391683</v>
      </c>
      <c r="I33" s="8">
        <f>SUM(E33:H33)</f>
        <v>1.099794628220748</v>
      </c>
      <c r="J33" s="14"/>
      <c r="K33" s="279"/>
      <c r="L33" s="14"/>
      <c r="M33" s="14"/>
      <c r="N33" s="14"/>
      <c r="O33" s="14"/>
      <c r="P33" s="279"/>
      <c r="Q33" s="282"/>
      <c r="R33" s="14"/>
      <c r="S33" s="280"/>
    </row>
    <row r="34" spans="2:19" x14ac:dyDescent="0.2">
      <c r="B34" s="10"/>
      <c r="C34" s="10" t="s">
        <v>66</v>
      </c>
      <c r="D34" s="220">
        <f>+'[3]Summary Category RPW Data'!$E$79+'[3]Summary Category RPW Data'!$E$80</f>
        <v>0</v>
      </c>
      <c r="E34" s="8">
        <f>+$D34/E$6*E$5</f>
        <v>0</v>
      </c>
      <c r="F34" s="82" t="s">
        <v>150</v>
      </c>
      <c r="G34" s="82" t="s">
        <v>150</v>
      </c>
      <c r="H34" s="8">
        <f>+$D34/H$6*H$5</f>
        <v>0</v>
      </c>
      <c r="I34" s="94">
        <f>SUM(E34:H34)</f>
        <v>0</v>
      </c>
      <c r="J34" s="14"/>
      <c r="K34" s="285"/>
      <c r="L34" s="286"/>
      <c r="M34" s="286"/>
      <c r="N34" s="286"/>
      <c r="O34" s="286"/>
      <c r="P34" s="285"/>
      <c r="Q34" s="12">
        <v>-999961.37272179127</v>
      </c>
      <c r="R34" s="286"/>
      <c r="S34" s="287"/>
    </row>
    <row r="35" spans="2:19" ht="15.75" x14ac:dyDescent="0.25">
      <c r="B35" s="95"/>
      <c r="C35" s="95" t="s">
        <v>71</v>
      </c>
      <c r="D35" s="93">
        <f>D33+D34</f>
        <v>0.65100000000000002</v>
      </c>
      <c r="I35" s="94">
        <f>SUM(I33:I34)</f>
        <v>1.099794628220748</v>
      </c>
      <c r="J35" s="14"/>
    </row>
    <row r="36" spans="2:19" ht="16.5" thickBot="1" x14ac:dyDescent="0.3">
      <c r="B36" s="95"/>
      <c r="C36" s="95" t="s">
        <v>72</v>
      </c>
      <c r="D36" s="97">
        <f>D32+D35</f>
        <v>615281.12300000002</v>
      </c>
      <c r="I36" s="94">
        <f>SUM(I35,I32)</f>
        <v>1037323.7751601157</v>
      </c>
      <c r="J36" s="14"/>
    </row>
    <row r="37" spans="2:19" ht="15.75" x14ac:dyDescent="0.25">
      <c r="B37" s="95"/>
      <c r="C37" s="95" t="s">
        <v>73</v>
      </c>
      <c r="D37" s="93">
        <f>D36+D28</f>
        <v>11337794.242000001</v>
      </c>
      <c r="I37" s="8">
        <f>+I36+I28+I20</f>
        <v>7031102.3051073737</v>
      </c>
      <c r="J37" s="14"/>
    </row>
    <row r="38" spans="2:19" ht="15.75" x14ac:dyDescent="0.25">
      <c r="B38" s="92"/>
      <c r="C38" s="92" t="s">
        <v>74</v>
      </c>
      <c r="D38" s="96"/>
      <c r="J38" s="14"/>
    </row>
    <row r="39" spans="2:19" x14ac:dyDescent="0.2">
      <c r="B39" s="10"/>
      <c r="C39" s="10" t="s">
        <v>75</v>
      </c>
      <c r="D39" s="220">
        <f>+'[3]Summary Category RPW Data'!$E$83/1000</f>
        <v>66522.91</v>
      </c>
      <c r="E39" s="82" t="s">
        <v>150</v>
      </c>
      <c r="F39" s="8">
        <f>+$D39/F$6*F$5</f>
        <v>10.154410171665489</v>
      </c>
      <c r="G39" s="8">
        <f>+$D39/G$6*G$5</f>
        <v>19276.418459106677</v>
      </c>
      <c r="H39" s="82" t="s">
        <v>150</v>
      </c>
      <c r="I39" s="8">
        <f>SUM(E39:H39)</f>
        <v>19286.572869278341</v>
      </c>
      <c r="J39" s="14"/>
    </row>
    <row r="40" spans="2:19" x14ac:dyDescent="0.2">
      <c r="B40" s="10"/>
      <c r="C40" s="10" t="s">
        <v>76</v>
      </c>
      <c r="D40" s="220">
        <f>+'[3]Summary Category RPW Data'!$E$85/1000</f>
        <v>8573710.6909999996</v>
      </c>
      <c r="E40" s="82" t="s">
        <v>150</v>
      </c>
      <c r="F40" s="8">
        <f>+$D40/F$6*F$5</f>
        <v>1308.7367201706531</v>
      </c>
      <c r="G40" s="8">
        <f>+$D40/G$6*G$5</f>
        <v>2484413.7910838933</v>
      </c>
      <c r="H40" s="82" t="s">
        <v>150</v>
      </c>
      <c r="I40" s="8">
        <f>SUM(E40:H40)</f>
        <v>2485722.5278040641</v>
      </c>
      <c r="J40" s="14"/>
    </row>
    <row r="41" spans="2:19" x14ac:dyDescent="0.2">
      <c r="B41" s="10"/>
      <c r="C41" s="10" t="s">
        <v>77</v>
      </c>
      <c r="D41" s="220">
        <f>+'[3]Summary Category RPW Data'!$E$87/1000+'[3]Summary Category RPW Data'!$E$89/1000</f>
        <v>410.93400000000003</v>
      </c>
      <c r="E41" s="8">
        <f>+$D41/E$6*E$5</f>
        <v>1.4366615483862379</v>
      </c>
      <c r="F41" s="82" t="s">
        <v>150</v>
      </c>
      <c r="G41" s="8">
        <f>+$D41/G$6*G$5</f>
        <v>119.07680741979783</v>
      </c>
      <c r="H41" s="82" t="s">
        <v>150</v>
      </c>
      <c r="I41" s="94">
        <f>SUM(E41:H41)</f>
        <v>120.51346896818407</v>
      </c>
      <c r="J41" s="14"/>
    </row>
    <row r="42" spans="2:19" ht="15.75" x14ac:dyDescent="0.25">
      <c r="B42" s="95"/>
      <c r="C42" s="95" t="s">
        <v>78</v>
      </c>
      <c r="D42" s="93">
        <f>SUM(D39:D41)</f>
        <v>8640644.5350000001</v>
      </c>
      <c r="I42" s="8">
        <f>SUM(I39:I41)</f>
        <v>2505129.6141423108</v>
      </c>
      <c r="J42" s="14"/>
    </row>
    <row r="43" spans="2:19" ht="15.75" x14ac:dyDescent="0.25">
      <c r="B43" s="92"/>
      <c r="C43" s="92" t="s">
        <v>79</v>
      </c>
      <c r="D43" s="96"/>
      <c r="J43" s="14"/>
    </row>
    <row r="44" spans="2:19" x14ac:dyDescent="0.2">
      <c r="B44" s="10"/>
      <c r="C44" s="10" t="s">
        <v>75</v>
      </c>
      <c r="D44" s="220">
        <f>+'[3]Summary Category RPW Data'!$E$84/1000</f>
        <v>11054.538</v>
      </c>
      <c r="E44" s="82" t="s">
        <v>150</v>
      </c>
      <c r="F44" s="8">
        <f>+$D44/F$6*F$5</f>
        <v>1.6874233720422436</v>
      </c>
      <c r="G44" s="82" t="s">
        <v>150</v>
      </c>
      <c r="H44" s="8">
        <f>+$D44/H$6*H$5</f>
        <v>18636.807827363711</v>
      </c>
      <c r="I44" s="8">
        <f>SUM(E44:H44)</f>
        <v>18638.495250735752</v>
      </c>
      <c r="J44" s="14"/>
    </row>
    <row r="45" spans="2:19" x14ac:dyDescent="0.2">
      <c r="B45" s="10"/>
      <c r="C45" s="10" t="s">
        <v>76</v>
      </c>
      <c r="D45" s="220">
        <f>+'[3]Summary Category RPW Data'!$E$86/1000</f>
        <v>855913.80700000003</v>
      </c>
      <c r="E45" s="82" t="s">
        <v>150</v>
      </c>
      <c r="F45" s="8">
        <f>+$D45/F$6*F$5</f>
        <v>130.65122779309763</v>
      </c>
      <c r="G45" s="82" t="s">
        <v>150</v>
      </c>
      <c r="H45" s="8">
        <f>+$D45/H$6*H$5</f>
        <v>1442982.1615201172</v>
      </c>
      <c r="I45" s="8">
        <f>SUM(E45:H45)</f>
        <v>1443112.8127479104</v>
      </c>
      <c r="J45" s="14"/>
    </row>
    <row r="46" spans="2:19" x14ac:dyDescent="0.2">
      <c r="B46" s="10"/>
      <c r="C46" s="10" t="s">
        <v>77</v>
      </c>
      <c r="D46" s="220">
        <f>+'[3]Summary Category RPW Data'!$E$88/1000</f>
        <v>14.228</v>
      </c>
      <c r="E46" s="8">
        <f>+$D46/E$6*E$5</f>
        <v>4.9742344294800123E-2</v>
      </c>
      <c r="F46" s="82" t="s">
        <v>150</v>
      </c>
      <c r="G46" s="82" t="s">
        <v>150</v>
      </c>
      <c r="H46" s="8">
        <f>+$D46/H$6*H$5</f>
        <v>23.986936565574325</v>
      </c>
      <c r="I46" s="94">
        <f>SUM(E46:H46)</f>
        <v>24.036678909869124</v>
      </c>
      <c r="J46" s="14"/>
    </row>
    <row r="47" spans="2:19" ht="15.75" x14ac:dyDescent="0.25">
      <c r="B47" s="95"/>
      <c r="C47" s="95" t="s">
        <v>80</v>
      </c>
      <c r="D47" s="100">
        <f>SUM(D44:D46)</f>
        <v>866982.57299999997</v>
      </c>
      <c r="I47" s="94">
        <f>SUM(I44:I46)</f>
        <v>1461775.3446775558</v>
      </c>
      <c r="J47" s="14"/>
    </row>
    <row r="48" spans="2:19" ht="15.75" x14ac:dyDescent="0.25">
      <c r="B48" s="95"/>
      <c r="C48" s="95" t="s">
        <v>81</v>
      </c>
      <c r="D48" s="93">
        <f>D47+D42</f>
        <v>9507627.1080000009</v>
      </c>
      <c r="I48" s="94">
        <f>SUM(I47,I42)</f>
        <v>3966904.9588198666</v>
      </c>
      <c r="J48" s="14"/>
    </row>
    <row r="49" spans="2:10" ht="15.75" x14ac:dyDescent="0.25">
      <c r="B49" s="95"/>
      <c r="C49" s="95" t="s">
        <v>82</v>
      </c>
      <c r="D49" s="96"/>
      <c r="I49" s="94">
        <f>+I42+I28+I15</f>
        <v>7012872.9624457136</v>
      </c>
      <c r="J49" s="14"/>
    </row>
    <row r="50" spans="2:10" ht="15.75" x14ac:dyDescent="0.25">
      <c r="B50" s="95"/>
      <c r="C50" s="95" t="s">
        <v>83</v>
      </c>
      <c r="D50" s="96"/>
      <c r="I50" s="94">
        <f>+I47+I36+I19</f>
        <v>3985134.3014815273</v>
      </c>
      <c r="J50" s="14"/>
    </row>
    <row r="51" spans="2:10" ht="15.75" x14ac:dyDescent="0.25">
      <c r="B51" s="101"/>
      <c r="C51" s="101" t="s">
        <v>84</v>
      </c>
      <c r="D51" s="93">
        <f>D20+D37+D48</f>
        <v>26557055.863000005</v>
      </c>
      <c r="I51" s="8">
        <f>+I50+I49</f>
        <v>10998007.26392724</v>
      </c>
      <c r="J51" s="14"/>
    </row>
    <row r="52" spans="2:10" ht="15.75" x14ac:dyDescent="0.25">
      <c r="B52" s="6"/>
      <c r="C52" s="6" t="s">
        <v>85</v>
      </c>
      <c r="D52" s="96"/>
      <c r="J52" s="14"/>
    </row>
    <row r="53" spans="2:10" ht="15.75" x14ac:dyDescent="0.25">
      <c r="B53" s="92"/>
      <c r="C53" s="92" t="s">
        <v>86</v>
      </c>
      <c r="D53" s="96"/>
      <c r="J53" s="14"/>
    </row>
    <row r="54" spans="2:10" x14ac:dyDescent="0.2">
      <c r="B54" s="10"/>
      <c r="C54" s="10" t="s">
        <v>87</v>
      </c>
      <c r="D54" s="220">
        <f>+'[3]Summary Category RPW Data'!$E$90/1000</f>
        <v>761278.57499999995</v>
      </c>
      <c r="E54" s="82" t="s">
        <v>150</v>
      </c>
      <c r="F54" s="8">
        <f>+$D54/F$6*F$5</f>
        <v>116.20560353494771</v>
      </c>
      <c r="G54" s="8">
        <f>+$D54/G$6*G$5</f>
        <v>220596.54900322951</v>
      </c>
      <c r="H54" s="82" t="s">
        <v>150</v>
      </c>
      <c r="I54" s="8">
        <f>SUM(E54:H54)</f>
        <v>220712.75460676444</v>
      </c>
      <c r="J54" s="14"/>
    </row>
    <row r="55" spans="2:10" x14ac:dyDescent="0.2">
      <c r="B55" s="10"/>
      <c r="C55" s="10" t="s">
        <v>88</v>
      </c>
      <c r="D55" s="220">
        <f>+'[3]Summary Category RPW Data'!$E$91/1000</f>
        <v>36226208.189000003</v>
      </c>
      <c r="E55" s="82" t="s">
        <v>150</v>
      </c>
      <c r="F55" s="8">
        <f>+$D55/F$6*F$5</f>
        <v>5529.7607533292403</v>
      </c>
      <c r="G55" s="8">
        <f>+$D55/G$6*G$5</f>
        <v>10497309.096037457</v>
      </c>
      <c r="H55" s="82" t="s">
        <v>150</v>
      </c>
      <c r="I55" s="94">
        <f>SUM(E55:H55)</f>
        <v>10502838.856790787</v>
      </c>
      <c r="J55" s="14"/>
    </row>
    <row r="56" spans="2:10" ht="15.75" x14ac:dyDescent="0.25">
      <c r="B56" s="95"/>
      <c r="C56" s="95" t="s">
        <v>89</v>
      </c>
      <c r="D56" s="93">
        <f>D54+D55</f>
        <v>36987486.764000006</v>
      </c>
      <c r="I56" s="8">
        <f>SUM(I54:I55)</f>
        <v>10723551.611397551</v>
      </c>
      <c r="J56" s="14"/>
    </row>
    <row r="57" spans="2:10" ht="15.75" x14ac:dyDescent="0.25">
      <c r="B57" s="92"/>
      <c r="C57" s="92" t="s">
        <v>90</v>
      </c>
      <c r="D57" s="96"/>
      <c r="J57" s="14"/>
    </row>
    <row r="58" spans="2:10" x14ac:dyDescent="0.2">
      <c r="B58" s="10"/>
      <c r="C58" s="10" t="s">
        <v>87</v>
      </c>
      <c r="D58" s="221">
        <f>+'[3]Summary Category RPW Data'!$E$92/1000</f>
        <v>688735.29500000004</v>
      </c>
      <c r="E58" s="82" t="s">
        <v>150</v>
      </c>
      <c r="F58" s="8">
        <f>+$D58/F$6*F$5</f>
        <v>105.13221212260606</v>
      </c>
      <c r="G58" s="82" t="s">
        <v>150</v>
      </c>
      <c r="H58" s="8">
        <f>+$D58/H$6*H$5</f>
        <v>1161136.4795921508</v>
      </c>
      <c r="I58" s="8">
        <f>SUM(E58:H58)</f>
        <v>1161241.6118042734</v>
      </c>
      <c r="J58" s="14"/>
    </row>
    <row r="59" spans="2:10" x14ac:dyDescent="0.2">
      <c r="B59" s="10"/>
      <c r="C59" s="10" t="s">
        <v>88</v>
      </c>
      <c r="D59" s="221">
        <f>+'[3]Summary Category RPW Data'!$E$93/1000</f>
        <v>9078050.9199999999</v>
      </c>
      <c r="E59" s="82" t="s">
        <v>150</v>
      </c>
      <c r="F59" s="8">
        <f>+$D59/F$6*F$5</f>
        <v>1385.72189041257</v>
      </c>
      <c r="G59" s="82" t="s">
        <v>150</v>
      </c>
      <c r="H59" s="8">
        <f>+$D59/H$6*H$5</f>
        <v>15304655.015258199</v>
      </c>
      <c r="I59" s="94">
        <f>SUM(E59:H59)</f>
        <v>15306040.737148611</v>
      </c>
      <c r="J59" s="14"/>
    </row>
    <row r="60" spans="2:10" ht="16.5" thickBot="1" x14ac:dyDescent="0.3">
      <c r="B60" s="95"/>
      <c r="C60" s="95" t="s">
        <v>91</v>
      </c>
      <c r="D60" s="97">
        <f>D58+D59</f>
        <v>9766786.2149999999</v>
      </c>
      <c r="I60" s="94">
        <f>SUM(I58:I59)</f>
        <v>16467282.348952884</v>
      </c>
      <c r="J60" s="14"/>
    </row>
    <row r="61" spans="2:10" ht="15.75" x14ac:dyDescent="0.25">
      <c r="B61" s="95"/>
      <c r="C61" s="95" t="s">
        <v>25</v>
      </c>
      <c r="D61" s="93">
        <f>D56+D60</f>
        <v>46754272.979000002</v>
      </c>
      <c r="I61" s="8">
        <f>SUM(I60,I56)</f>
        <v>27190833.960350435</v>
      </c>
      <c r="J61" s="14"/>
    </row>
    <row r="62" spans="2:10" ht="15.75" x14ac:dyDescent="0.25">
      <c r="B62" s="92"/>
      <c r="C62" s="92" t="s">
        <v>92</v>
      </c>
      <c r="D62" s="96"/>
      <c r="J62" s="14"/>
    </row>
    <row r="63" spans="2:10" x14ac:dyDescent="0.2">
      <c r="B63" s="10"/>
      <c r="C63" s="10" t="s">
        <v>87</v>
      </c>
      <c r="D63" s="221">
        <f>+'[3]Summary Category RPW Data'!$E$94/1000</f>
        <v>230204.36900000001</v>
      </c>
      <c r="E63" s="82" t="s">
        <v>150</v>
      </c>
      <c r="F63" s="8">
        <f>+$D63/F$6*F$5</f>
        <v>35.139617105376715</v>
      </c>
      <c r="G63" s="8">
        <f>+$D63/G$6*G$5</f>
        <v>66706.578950899842</v>
      </c>
      <c r="H63" s="82" t="s">
        <v>150</v>
      </c>
      <c r="I63" s="8">
        <f>SUM(E63:H63)</f>
        <v>66741.718568005221</v>
      </c>
      <c r="J63" s="14"/>
    </row>
    <row r="64" spans="2:10" x14ac:dyDescent="0.2">
      <c r="B64" s="10"/>
      <c r="C64" s="10" t="s">
        <v>88</v>
      </c>
      <c r="D64" s="221">
        <f>+'[3]Summary Category RPW Data'!$E$95/1000</f>
        <v>4126510.74</v>
      </c>
      <c r="E64" s="82" t="s">
        <v>150</v>
      </c>
      <c r="F64" s="8">
        <f>+$D64/F$6*F$5</f>
        <v>629.89250818617063</v>
      </c>
      <c r="G64" s="8">
        <f>+$D64/G$6*G$5</f>
        <v>1195743.658842314</v>
      </c>
      <c r="H64" s="82" t="s">
        <v>150</v>
      </c>
      <c r="I64" s="94">
        <f>SUM(E64:H64)</f>
        <v>1196373.5513505002</v>
      </c>
      <c r="J64" s="14"/>
    </row>
    <row r="65" spans="2:10" ht="15.75" x14ac:dyDescent="0.25">
      <c r="B65" s="95"/>
      <c r="C65" s="95" t="s">
        <v>93</v>
      </c>
      <c r="D65" s="93">
        <f>D63+D64</f>
        <v>4356715.1090000002</v>
      </c>
      <c r="I65" s="8">
        <f>SUM(I63:I64)</f>
        <v>1263115.2699185053</v>
      </c>
      <c r="J65" s="14"/>
    </row>
    <row r="66" spans="2:10" ht="15.75" x14ac:dyDescent="0.25">
      <c r="B66" s="92"/>
      <c r="C66" s="92" t="s">
        <v>94</v>
      </c>
      <c r="D66" s="96"/>
      <c r="J66" s="14"/>
    </row>
    <row r="67" spans="2:10" x14ac:dyDescent="0.2">
      <c r="B67" s="10"/>
      <c r="C67" s="10" t="s">
        <v>87</v>
      </c>
      <c r="D67" s="221">
        <f>+'[3]Summary Category RPW Data'!$E$96/1000</f>
        <v>77465.953999999998</v>
      </c>
      <c r="E67" s="82" t="s">
        <v>150</v>
      </c>
      <c r="F67" s="8">
        <f>+$D67/F$6*F$5</f>
        <v>11.824814507594013</v>
      </c>
      <c r="G67" s="82" t="s">
        <v>150</v>
      </c>
      <c r="H67" s="8">
        <f>+$D67/H$6*H$5</f>
        <v>130599.58705297291</v>
      </c>
      <c r="I67" s="8">
        <f>SUM(E67:H67)</f>
        <v>130611.41186748051</v>
      </c>
      <c r="J67" s="14"/>
    </row>
    <row r="68" spans="2:10" x14ac:dyDescent="0.2">
      <c r="B68" s="10"/>
      <c r="C68" s="10" t="s">
        <v>88</v>
      </c>
      <c r="D68" s="221">
        <f>+'[3]Summary Category RPW Data'!$E$97/1000</f>
        <v>1133838.3500000001</v>
      </c>
      <c r="E68" s="82" t="s">
        <v>150</v>
      </c>
      <c r="F68" s="8">
        <f>+$D68/F$6*F$5</f>
        <v>173.07510561796553</v>
      </c>
      <c r="G68" s="82" t="s">
        <v>150</v>
      </c>
      <c r="H68" s="8">
        <f>+$D68/H$6*H$5</f>
        <v>1911534.1985567517</v>
      </c>
      <c r="I68" s="94">
        <f>SUM(E68:H68)</f>
        <v>1911707.2736623697</v>
      </c>
      <c r="J68" s="14"/>
    </row>
    <row r="69" spans="2:10" ht="16.5" thickBot="1" x14ac:dyDescent="0.3">
      <c r="B69" s="95"/>
      <c r="C69" s="95" t="s">
        <v>95</v>
      </c>
      <c r="D69" s="97">
        <f>D67+D68</f>
        <v>1211304.304</v>
      </c>
      <c r="I69" s="94">
        <f>SUM(I67:I68)</f>
        <v>2042318.6855298502</v>
      </c>
      <c r="J69" s="14"/>
    </row>
    <row r="70" spans="2:10" ht="15.75" x14ac:dyDescent="0.25">
      <c r="B70" s="95"/>
      <c r="C70" s="95" t="s">
        <v>96</v>
      </c>
      <c r="D70" s="93">
        <f>D65+D69</f>
        <v>5568019.4130000006</v>
      </c>
      <c r="I70" s="8">
        <f>SUM(I69,I65)</f>
        <v>3305433.9554483555</v>
      </c>
      <c r="J70" s="14"/>
    </row>
    <row r="71" spans="2:10" ht="15.75" x14ac:dyDescent="0.25">
      <c r="B71" s="6"/>
      <c r="C71" s="6" t="s">
        <v>97</v>
      </c>
      <c r="D71" s="96"/>
      <c r="J71" s="14"/>
    </row>
    <row r="72" spans="2:10" x14ac:dyDescent="0.2">
      <c r="B72" s="10"/>
      <c r="C72" s="10" t="s">
        <v>98</v>
      </c>
      <c r="D72" s="221">
        <f>+'[3]Summary Category RPW Data'!$E$99/1000+'[3]Summary Category RPW Data'!$E$103/1000</f>
        <v>55275.451999999997</v>
      </c>
      <c r="E72" s="8">
        <f>+$D72/E$6*E$5</f>
        <v>193.24786086833694</v>
      </c>
      <c r="F72" s="82" t="s">
        <v>150</v>
      </c>
      <c r="G72" s="8">
        <f>+$D72/G$6*G$5</f>
        <v>16017.229902724715</v>
      </c>
      <c r="H72" s="82" t="s">
        <v>150</v>
      </c>
      <c r="I72" s="8">
        <f>SUM(E72:H72)</f>
        <v>16210.477763593053</v>
      </c>
      <c r="J72" s="14"/>
    </row>
    <row r="73" spans="2:10" x14ac:dyDescent="0.2">
      <c r="B73" s="10"/>
      <c r="C73" s="10" t="s">
        <v>99</v>
      </c>
      <c r="D73" s="221">
        <f>+'[3]Summary Category RPW Data'!$E$101</f>
        <v>0</v>
      </c>
      <c r="E73" s="8"/>
      <c r="F73" s="82" t="s">
        <v>150</v>
      </c>
      <c r="G73" s="8">
        <f>+$D73/G$6*G$5</f>
        <v>0</v>
      </c>
      <c r="H73" s="82" t="s">
        <v>150</v>
      </c>
      <c r="I73" s="94">
        <f>SUM(E73:H73)</f>
        <v>0</v>
      </c>
      <c r="J73" s="14"/>
    </row>
    <row r="74" spans="2:10" ht="15.75" x14ac:dyDescent="0.25">
      <c r="B74" s="92"/>
      <c r="C74" s="92" t="s">
        <v>100</v>
      </c>
      <c r="D74" s="93">
        <f>D73+D72</f>
        <v>55275.451999999997</v>
      </c>
      <c r="I74" s="8">
        <f>SUM(I72:I73)</f>
        <v>16210.477763593053</v>
      </c>
      <c r="J74" s="14"/>
    </row>
    <row r="75" spans="2:10" x14ac:dyDescent="0.2">
      <c r="B75" s="10"/>
      <c r="C75" s="10" t="s">
        <v>101</v>
      </c>
      <c r="D75" s="221">
        <f>+'[3]Summary Category RPW Data'!$E$104/1000+'[3]Summary Category RPW Data'!$E$100/1000</f>
        <v>16690.78</v>
      </c>
      <c r="E75" s="8">
        <f>+$D75/E$6*E$5</f>
        <v>58.352440631765809</v>
      </c>
      <c r="F75" s="82" t="s">
        <v>150</v>
      </c>
      <c r="G75" s="82" t="s">
        <v>150</v>
      </c>
      <c r="H75" s="8">
        <f>+$D75/H$6*H$5</f>
        <v>28138.928949251942</v>
      </c>
      <c r="I75" s="8">
        <f>SUM(E75:H75)</f>
        <v>28197.281389883708</v>
      </c>
      <c r="J75" s="14"/>
    </row>
    <row r="76" spans="2:10" x14ac:dyDescent="0.2">
      <c r="B76" s="10"/>
      <c r="C76" s="10" t="s">
        <v>102</v>
      </c>
      <c r="D76" s="221">
        <f>+'[3]Summary Category RPW Data'!$E$102</f>
        <v>0</v>
      </c>
      <c r="F76" s="82" t="s">
        <v>150</v>
      </c>
      <c r="G76" s="82" t="s">
        <v>150</v>
      </c>
      <c r="H76" s="8">
        <f>+$D76/H$6*H$5</f>
        <v>0</v>
      </c>
      <c r="I76" s="94">
        <f>SUM(E76:H76)</f>
        <v>0</v>
      </c>
      <c r="J76" s="14"/>
    </row>
    <row r="77" spans="2:10" ht="16.5" thickBot="1" x14ac:dyDescent="0.3">
      <c r="B77" s="92"/>
      <c r="C77" s="92" t="s">
        <v>103</v>
      </c>
      <c r="D77" s="97">
        <f>D75+D76</f>
        <v>16690.78</v>
      </c>
      <c r="I77" s="94">
        <f>SUM(I75:I76)</f>
        <v>28197.281389883708</v>
      </c>
      <c r="J77" s="14"/>
    </row>
    <row r="78" spans="2:10" ht="15.75" x14ac:dyDescent="0.25">
      <c r="B78" s="92"/>
      <c r="C78" s="92" t="s">
        <v>104</v>
      </c>
      <c r="D78" s="93">
        <f>D74+D77</f>
        <v>71966.231999999989</v>
      </c>
      <c r="I78" s="94">
        <f>SUM(I77,I74)</f>
        <v>44407.759153476763</v>
      </c>
      <c r="J78" s="14"/>
    </row>
    <row r="79" spans="2:10" ht="15.75" x14ac:dyDescent="0.25">
      <c r="B79" s="95"/>
      <c r="C79" s="95" t="s">
        <v>105</v>
      </c>
      <c r="D79" s="93">
        <f>D74</f>
        <v>55275.451999999997</v>
      </c>
      <c r="I79" s="94">
        <f>+I74+I65+I56</f>
        <v>12002877.35907965</v>
      </c>
      <c r="J79" s="14"/>
    </row>
    <row r="80" spans="2:10" ht="16.5" thickBot="1" x14ac:dyDescent="0.3">
      <c r="B80" s="95"/>
      <c r="C80" s="95" t="s">
        <v>106</v>
      </c>
      <c r="D80" s="102">
        <f>D77</f>
        <v>16690.78</v>
      </c>
      <c r="I80" s="94">
        <f>+I77+I69+I60</f>
        <v>18537798.315872617</v>
      </c>
      <c r="J80" s="14"/>
    </row>
    <row r="81" spans="2:10" ht="15.75" x14ac:dyDescent="0.25">
      <c r="B81" s="101"/>
      <c r="C81" s="101" t="s">
        <v>107</v>
      </c>
      <c r="D81" s="93">
        <f>D79+D80</f>
        <v>71966.231999999989</v>
      </c>
      <c r="I81" s="8">
        <f>+I80+I79</f>
        <v>30540675.674952269</v>
      </c>
      <c r="J81" s="14"/>
    </row>
    <row r="82" spans="2:10" x14ac:dyDescent="0.2">
      <c r="C82" s="1" t="s">
        <v>108</v>
      </c>
      <c r="D82" s="220">
        <f>+'[3]Summary Category RPW Data'!$F$130/1000</f>
        <v>1036466.001</v>
      </c>
      <c r="F82" s="8">
        <f>+$D82/F$6*F$5</f>
        <v>158.21167328879409</v>
      </c>
      <c r="G82" s="8">
        <f>+$D82/G$6*G$5</f>
        <v>300337.91898028634</v>
      </c>
      <c r="I82" s="8">
        <f>SUM(E82:H82)</f>
        <v>300496.13065357512</v>
      </c>
      <c r="J82" s="14"/>
    </row>
    <row r="83" spans="2:10" x14ac:dyDescent="0.2">
      <c r="C83" s="1" t="s">
        <v>109</v>
      </c>
      <c r="D83" s="220">
        <f>+'[3]Summary Category RPW Data'!$E$132/1000</f>
        <v>119.383</v>
      </c>
      <c r="E83" s="82" t="s">
        <v>150</v>
      </c>
      <c r="F83" s="82" t="s">
        <v>150</v>
      </c>
      <c r="G83" s="82" t="s">
        <v>150</v>
      </c>
      <c r="H83" s="77" t="s">
        <v>150</v>
      </c>
      <c r="I83" s="94">
        <f>SUM(E83:H83)</f>
        <v>0</v>
      </c>
      <c r="J83" s="14"/>
    </row>
    <row r="84" spans="2:10" x14ac:dyDescent="0.2">
      <c r="C84" s="1" t="s">
        <v>201</v>
      </c>
      <c r="D84" s="220">
        <f>+'[3]Summary Category RPW Data'!$E$98/1000</f>
        <v>974774.14099999995</v>
      </c>
      <c r="E84" s="8">
        <f>+$D84/E$6*E$5</f>
        <v>3407.8964669166462</v>
      </c>
      <c r="F84" s="82"/>
      <c r="G84" s="82"/>
      <c r="H84" s="77"/>
      <c r="I84" s="94">
        <f>SUM(E84:H84)</f>
        <v>3407.8964669166462</v>
      </c>
      <c r="J84" s="14"/>
    </row>
    <row r="85" spans="2:10" ht="15.75" x14ac:dyDescent="0.25">
      <c r="B85" s="101"/>
      <c r="C85" s="101" t="s">
        <v>110</v>
      </c>
      <c r="D85" s="93">
        <f>D51+D61+D70+D78+D82+D83+D84</f>
        <v>80962674.012000009</v>
      </c>
      <c r="I85" s="8">
        <f>+I84+I82+I81+I51</f>
        <v>41842586.966000006</v>
      </c>
      <c r="J85" s="14"/>
    </row>
    <row r="86" spans="2:10" x14ac:dyDescent="0.2">
      <c r="J86" s="14"/>
    </row>
    <row r="87" spans="2:10" x14ac:dyDescent="0.2">
      <c r="I87" s="4">
        <f>+G5+H5</f>
        <v>41828174</v>
      </c>
      <c r="J87" s="14"/>
    </row>
    <row r="88" spans="2:10" x14ac:dyDescent="0.2">
      <c r="J88" s="14"/>
    </row>
    <row r="89" spans="2:10" x14ac:dyDescent="0.2">
      <c r="J89" s="14"/>
    </row>
    <row r="90" spans="2:10" x14ac:dyDescent="0.2">
      <c r="H90" s="4"/>
      <c r="I90" s="4">
        <f>+I85-I87</f>
        <v>14412.966000005603</v>
      </c>
      <c r="J90" s="14"/>
    </row>
    <row r="91" spans="2:10" x14ac:dyDescent="0.2">
      <c r="C91" s="16"/>
      <c r="J91" s="14"/>
    </row>
    <row r="92" spans="2:10" x14ac:dyDescent="0.2">
      <c r="J92" s="14"/>
    </row>
    <row r="93" spans="2:10" x14ac:dyDescent="0.2">
      <c r="J93" s="14"/>
    </row>
    <row r="94" spans="2:10" x14ac:dyDescent="0.2">
      <c r="H94" s="103"/>
      <c r="J94" s="14"/>
    </row>
    <row r="95" spans="2:10" ht="45" x14ac:dyDescent="0.2">
      <c r="D95" s="175"/>
      <c r="E95" s="176" t="s">
        <v>155</v>
      </c>
      <c r="F95" s="176" t="s">
        <v>156</v>
      </c>
      <c r="G95" s="177" t="s">
        <v>11</v>
      </c>
      <c r="J95" s="14"/>
    </row>
    <row r="96" spans="2:10" x14ac:dyDescent="0.2">
      <c r="D96" s="178" t="s">
        <v>188</v>
      </c>
      <c r="E96" s="179">
        <f>ROUND(22486065.2068006/1000,3)</f>
        <v>22486.064999999999</v>
      </c>
      <c r="F96" s="179">
        <f>ROUND(29332182.7931994/1000,3)</f>
        <v>29332.183000000001</v>
      </c>
      <c r="G96" s="180">
        <f>E96+F96</f>
        <v>51818.248</v>
      </c>
      <c r="J96" s="14"/>
    </row>
    <row r="97" spans="4:10" x14ac:dyDescent="0.2">
      <c r="D97" s="178" t="s">
        <v>189</v>
      </c>
      <c r="E97" s="181">
        <f>E96/G96</f>
        <v>0.43394105103669267</v>
      </c>
      <c r="F97" s="181">
        <f>F96/G96</f>
        <v>0.56605894896330733</v>
      </c>
      <c r="G97" s="160"/>
      <c r="H97" s="104"/>
      <c r="I97" s="105"/>
      <c r="J97" s="14"/>
    </row>
    <row r="98" spans="4:10" x14ac:dyDescent="0.2">
      <c r="D98" s="178"/>
      <c r="E98" s="161"/>
      <c r="F98" s="161"/>
      <c r="G98" s="160"/>
      <c r="H98" s="69"/>
    </row>
    <row r="99" spans="4:10" x14ac:dyDescent="0.2">
      <c r="D99" s="178" t="s">
        <v>190</v>
      </c>
      <c r="E99" s="163">
        <v>19307265.847737942</v>
      </c>
      <c r="F99" s="163">
        <v>22520908.152262058</v>
      </c>
      <c r="G99" s="182">
        <f>'[7]MD Fees CHIR'!B28*1000</f>
        <v>44492831</v>
      </c>
      <c r="H99" s="104"/>
      <c r="I99" s="105"/>
    </row>
    <row r="100" spans="4:10" x14ac:dyDescent="0.2">
      <c r="D100" s="183"/>
      <c r="E100" s="169"/>
      <c r="F100" s="169"/>
      <c r="G100" s="170"/>
      <c r="H100" s="106"/>
    </row>
    <row r="101" spans="4:10" x14ac:dyDescent="0.2">
      <c r="H101" s="104"/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B2:I18"/>
  <sheetViews>
    <sheetView workbookViewId="0">
      <selection activeCell="I12" sqref="I12"/>
    </sheetView>
  </sheetViews>
  <sheetFormatPr defaultRowHeight="15" x14ac:dyDescent="0.2"/>
  <cols>
    <col min="1" max="1" width="9.140625" style="1"/>
    <col min="2" max="2" width="57.28515625" style="1" bestFit="1" customWidth="1"/>
    <col min="3" max="5" width="16" style="1" bestFit="1" customWidth="1"/>
    <col min="6" max="6" width="14.140625" style="1" customWidth="1"/>
    <col min="7" max="7" width="9.140625" style="1"/>
    <col min="8" max="8" width="12.7109375" style="1" bestFit="1" customWidth="1"/>
    <col min="9" max="9" width="11.42578125" style="1" bestFit="1" customWidth="1"/>
    <col min="10" max="257" width="9.140625" style="1"/>
    <col min="258" max="258" width="57.28515625" style="1" bestFit="1" customWidth="1"/>
    <col min="259" max="261" width="16" style="1" bestFit="1" customWidth="1"/>
    <col min="262" max="262" width="14.140625" style="1" customWidth="1"/>
    <col min="263" max="263" width="9.140625" style="1"/>
    <col min="264" max="264" width="12.7109375" style="1" bestFit="1" customWidth="1"/>
    <col min="265" max="513" width="9.140625" style="1"/>
    <col min="514" max="514" width="57.28515625" style="1" bestFit="1" customWidth="1"/>
    <col min="515" max="517" width="16" style="1" bestFit="1" customWidth="1"/>
    <col min="518" max="518" width="14.140625" style="1" customWidth="1"/>
    <col min="519" max="519" width="9.140625" style="1"/>
    <col min="520" max="520" width="12.7109375" style="1" bestFit="1" customWidth="1"/>
    <col min="521" max="769" width="9.140625" style="1"/>
    <col min="770" max="770" width="57.28515625" style="1" bestFit="1" customWidth="1"/>
    <col min="771" max="773" width="16" style="1" bestFit="1" customWidth="1"/>
    <col min="774" max="774" width="14.140625" style="1" customWidth="1"/>
    <col min="775" max="775" width="9.140625" style="1"/>
    <col min="776" max="776" width="12.7109375" style="1" bestFit="1" customWidth="1"/>
    <col min="777" max="1025" width="9.140625" style="1"/>
    <col min="1026" max="1026" width="57.28515625" style="1" bestFit="1" customWidth="1"/>
    <col min="1027" max="1029" width="16" style="1" bestFit="1" customWidth="1"/>
    <col min="1030" max="1030" width="14.140625" style="1" customWidth="1"/>
    <col min="1031" max="1031" width="9.140625" style="1"/>
    <col min="1032" max="1032" width="12.7109375" style="1" bestFit="1" customWidth="1"/>
    <col min="1033" max="1281" width="9.140625" style="1"/>
    <col min="1282" max="1282" width="57.28515625" style="1" bestFit="1" customWidth="1"/>
    <col min="1283" max="1285" width="16" style="1" bestFit="1" customWidth="1"/>
    <col min="1286" max="1286" width="14.140625" style="1" customWidth="1"/>
    <col min="1287" max="1287" width="9.140625" style="1"/>
    <col min="1288" max="1288" width="12.7109375" style="1" bestFit="1" customWidth="1"/>
    <col min="1289" max="1537" width="9.140625" style="1"/>
    <col min="1538" max="1538" width="57.28515625" style="1" bestFit="1" customWidth="1"/>
    <col min="1539" max="1541" width="16" style="1" bestFit="1" customWidth="1"/>
    <col min="1542" max="1542" width="14.140625" style="1" customWidth="1"/>
    <col min="1543" max="1543" width="9.140625" style="1"/>
    <col min="1544" max="1544" width="12.7109375" style="1" bestFit="1" customWidth="1"/>
    <col min="1545" max="1793" width="9.140625" style="1"/>
    <col min="1794" max="1794" width="57.28515625" style="1" bestFit="1" customWidth="1"/>
    <col min="1795" max="1797" width="16" style="1" bestFit="1" customWidth="1"/>
    <col min="1798" max="1798" width="14.140625" style="1" customWidth="1"/>
    <col min="1799" max="1799" width="9.140625" style="1"/>
    <col min="1800" max="1800" width="12.7109375" style="1" bestFit="1" customWidth="1"/>
    <col min="1801" max="2049" width="9.140625" style="1"/>
    <col min="2050" max="2050" width="57.28515625" style="1" bestFit="1" customWidth="1"/>
    <col min="2051" max="2053" width="16" style="1" bestFit="1" customWidth="1"/>
    <col min="2054" max="2054" width="14.140625" style="1" customWidth="1"/>
    <col min="2055" max="2055" width="9.140625" style="1"/>
    <col min="2056" max="2056" width="12.7109375" style="1" bestFit="1" customWidth="1"/>
    <col min="2057" max="2305" width="9.140625" style="1"/>
    <col min="2306" max="2306" width="57.28515625" style="1" bestFit="1" customWidth="1"/>
    <col min="2307" max="2309" width="16" style="1" bestFit="1" customWidth="1"/>
    <col min="2310" max="2310" width="14.140625" style="1" customWidth="1"/>
    <col min="2311" max="2311" width="9.140625" style="1"/>
    <col min="2312" max="2312" width="12.7109375" style="1" bestFit="1" customWidth="1"/>
    <col min="2313" max="2561" width="9.140625" style="1"/>
    <col min="2562" max="2562" width="57.28515625" style="1" bestFit="1" customWidth="1"/>
    <col min="2563" max="2565" width="16" style="1" bestFit="1" customWidth="1"/>
    <col min="2566" max="2566" width="14.140625" style="1" customWidth="1"/>
    <col min="2567" max="2567" width="9.140625" style="1"/>
    <col min="2568" max="2568" width="12.7109375" style="1" bestFit="1" customWidth="1"/>
    <col min="2569" max="2817" width="9.140625" style="1"/>
    <col min="2818" max="2818" width="57.28515625" style="1" bestFit="1" customWidth="1"/>
    <col min="2819" max="2821" width="16" style="1" bestFit="1" customWidth="1"/>
    <col min="2822" max="2822" width="14.140625" style="1" customWidth="1"/>
    <col min="2823" max="2823" width="9.140625" style="1"/>
    <col min="2824" max="2824" width="12.7109375" style="1" bestFit="1" customWidth="1"/>
    <col min="2825" max="3073" width="9.140625" style="1"/>
    <col min="3074" max="3074" width="57.28515625" style="1" bestFit="1" customWidth="1"/>
    <col min="3075" max="3077" width="16" style="1" bestFit="1" customWidth="1"/>
    <col min="3078" max="3078" width="14.140625" style="1" customWidth="1"/>
    <col min="3079" max="3079" width="9.140625" style="1"/>
    <col min="3080" max="3080" width="12.7109375" style="1" bestFit="1" customWidth="1"/>
    <col min="3081" max="3329" width="9.140625" style="1"/>
    <col min="3330" max="3330" width="57.28515625" style="1" bestFit="1" customWidth="1"/>
    <col min="3331" max="3333" width="16" style="1" bestFit="1" customWidth="1"/>
    <col min="3334" max="3334" width="14.140625" style="1" customWidth="1"/>
    <col min="3335" max="3335" width="9.140625" style="1"/>
    <col min="3336" max="3336" width="12.7109375" style="1" bestFit="1" customWidth="1"/>
    <col min="3337" max="3585" width="9.140625" style="1"/>
    <col min="3586" max="3586" width="57.28515625" style="1" bestFit="1" customWidth="1"/>
    <col min="3587" max="3589" width="16" style="1" bestFit="1" customWidth="1"/>
    <col min="3590" max="3590" width="14.140625" style="1" customWidth="1"/>
    <col min="3591" max="3591" width="9.140625" style="1"/>
    <col min="3592" max="3592" width="12.7109375" style="1" bestFit="1" customWidth="1"/>
    <col min="3593" max="3841" width="9.140625" style="1"/>
    <col min="3842" max="3842" width="57.28515625" style="1" bestFit="1" customWidth="1"/>
    <col min="3843" max="3845" width="16" style="1" bestFit="1" customWidth="1"/>
    <col min="3846" max="3846" width="14.140625" style="1" customWidth="1"/>
    <col min="3847" max="3847" width="9.140625" style="1"/>
    <col min="3848" max="3848" width="12.7109375" style="1" bestFit="1" customWidth="1"/>
    <col min="3849" max="4097" width="9.140625" style="1"/>
    <col min="4098" max="4098" width="57.28515625" style="1" bestFit="1" customWidth="1"/>
    <col min="4099" max="4101" width="16" style="1" bestFit="1" customWidth="1"/>
    <col min="4102" max="4102" width="14.140625" style="1" customWidth="1"/>
    <col min="4103" max="4103" width="9.140625" style="1"/>
    <col min="4104" max="4104" width="12.7109375" style="1" bestFit="1" customWidth="1"/>
    <col min="4105" max="4353" width="9.140625" style="1"/>
    <col min="4354" max="4354" width="57.28515625" style="1" bestFit="1" customWidth="1"/>
    <col min="4355" max="4357" width="16" style="1" bestFit="1" customWidth="1"/>
    <col min="4358" max="4358" width="14.140625" style="1" customWidth="1"/>
    <col min="4359" max="4359" width="9.140625" style="1"/>
    <col min="4360" max="4360" width="12.7109375" style="1" bestFit="1" customWidth="1"/>
    <col min="4361" max="4609" width="9.140625" style="1"/>
    <col min="4610" max="4610" width="57.28515625" style="1" bestFit="1" customWidth="1"/>
    <col min="4611" max="4613" width="16" style="1" bestFit="1" customWidth="1"/>
    <col min="4614" max="4614" width="14.140625" style="1" customWidth="1"/>
    <col min="4615" max="4615" width="9.140625" style="1"/>
    <col min="4616" max="4616" width="12.7109375" style="1" bestFit="1" customWidth="1"/>
    <col min="4617" max="4865" width="9.140625" style="1"/>
    <col min="4866" max="4866" width="57.28515625" style="1" bestFit="1" customWidth="1"/>
    <col min="4867" max="4869" width="16" style="1" bestFit="1" customWidth="1"/>
    <col min="4870" max="4870" width="14.140625" style="1" customWidth="1"/>
    <col min="4871" max="4871" width="9.140625" style="1"/>
    <col min="4872" max="4872" width="12.7109375" style="1" bestFit="1" customWidth="1"/>
    <col min="4873" max="5121" width="9.140625" style="1"/>
    <col min="5122" max="5122" width="57.28515625" style="1" bestFit="1" customWidth="1"/>
    <col min="5123" max="5125" width="16" style="1" bestFit="1" customWidth="1"/>
    <col min="5126" max="5126" width="14.140625" style="1" customWidth="1"/>
    <col min="5127" max="5127" width="9.140625" style="1"/>
    <col min="5128" max="5128" width="12.7109375" style="1" bestFit="1" customWidth="1"/>
    <col min="5129" max="5377" width="9.140625" style="1"/>
    <col min="5378" max="5378" width="57.28515625" style="1" bestFit="1" customWidth="1"/>
    <col min="5379" max="5381" width="16" style="1" bestFit="1" customWidth="1"/>
    <col min="5382" max="5382" width="14.140625" style="1" customWidth="1"/>
    <col min="5383" max="5383" width="9.140625" style="1"/>
    <col min="5384" max="5384" width="12.7109375" style="1" bestFit="1" customWidth="1"/>
    <col min="5385" max="5633" width="9.140625" style="1"/>
    <col min="5634" max="5634" width="57.28515625" style="1" bestFit="1" customWidth="1"/>
    <col min="5635" max="5637" width="16" style="1" bestFit="1" customWidth="1"/>
    <col min="5638" max="5638" width="14.140625" style="1" customWidth="1"/>
    <col min="5639" max="5639" width="9.140625" style="1"/>
    <col min="5640" max="5640" width="12.7109375" style="1" bestFit="1" customWidth="1"/>
    <col min="5641" max="5889" width="9.140625" style="1"/>
    <col min="5890" max="5890" width="57.28515625" style="1" bestFit="1" customWidth="1"/>
    <col min="5891" max="5893" width="16" style="1" bestFit="1" customWidth="1"/>
    <col min="5894" max="5894" width="14.140625" style="1" customWidth="1"/>
    <col min="5895" max="5895" width="9.140625" style="1"/>
    <col min="5896" max="5896" width="12.7109375" style="1" bestFit="1" customWidth="1"/>
    <col min="5897" max="6145" width="9.140625" style="1"/>
    <col min="6146" max="6146" width="57.28515625" style="1" bestFit="1" customWidth="1"/>
    <col min="6147" max="6149" width="16" style="1" bestFit="1" customWidth="1"/>
    <col min="6150" max="6150" width="14.140625" style="1" customWidth="1"/>
    <col min="6151" max="6151" width="9.140625" style="1"/>
    <col min="6152" max="6152" width="12.7109375" style="1" bestFit="1" customWidth="1"/>
    <col min="6153" max="6401" width="9.140625" style="1"/>
    <col min="6402" max="6402" width="57.28515625" style="1" bestFit="1" customWidth="1"/>
    <col min="6403" max="6405" width="16" style="1" bestFit="1" customWidth="1"/>
    <col min="6406" max="6406" width="14.140625" style="1" customWidth="1"/>
    <col min="6407" max="6407" width="9.140625" style="1"/>
    <col min="6408" max="6408" width="12.7109375" style="1" bestFit="1" customWidth="1"/>
    <col min="6409" max="6657" width="9.140625" style="1"/>
    <col min="6658" max="6658" width="57.28515625" style="1" bestFit="1" customWidth="1"/>
    <col min="6659" max="6661" width="16" style="1" bestFit="1" customWidth="1"/>
    <col min="6662" max="6662" width="14.140625" style="1" customWidth="1"/>
    <col min="6663" max="6663" width="9.140625" style="1"/>
    <col min="6664" max="6664" width="12.7109375" style="1" bestFit="1" customWidth="1"/>
    <col min="6665" max="6913" width="9.140625" style="1"/>
    <col min="6914" max="6914" width="57.28515625" style="1" bestFit="1" customWidth="1"/>
    <col min="6915" max="6917" width="16" style="1" bestFit="1" customWidth="1"/>
    <col min="6918" max="6918" width="14.140625" style="1" customWidth="1"/>
    <col min="6919" max="6919" width="9.140625" style="1"/>
    <col min="6920" max="6920" width="12.7109375" style="1" bestFit="1" customWidth="1"/>
    <col min="6921" max="7169" width="9.140625" style="1"/>
    <col min="7170" max="7170" width="57.28515625" style="1" bestFit="1" customWidth="1"/>
    <col min="7171" max="7173" width="16" style="1" bestFit="1" customWidth="1"/>
    <col min="7174" max="7174" width="14.140625" style="1" customWidth="1"/>
    <col min="7175" max="7175" width="9.140625" style="1"/>
    <col min="7176" max="7176" width="12.7109375" style="1" bestFit="1" customWidth="1"/>
    <col min="7177" max="7425" width="9.140625" style="1"/>
    <col min="7426" max="7426" width="57.28515625" style="1" bestFit="1" customWidth="1"/>
    <col min="7427" max="7429" width="16" style="1" bestFit="1" customWidth="1"/>
    <col min="7430" max="7430" width="14.140625" style="1" customWidth="1"/>
    <col min="7431" max="7431" width="9.140625" style="1"/>
    <col min="7432" max="7432" width="12.7109375" style="1" bestFit="1" customWidth="1"/>
    <col min="7433" max="7681" width="9.140625" style="1"/>
    <col min="7682" max="7682" width="57.28515625" style="1" bestFit="1" customWidth="1"/>
    <col min="7683" max="7685" width="16" style="1" bestFit="1" customWidth="1"/>
    <col min="7686" max="7686" width="14.140625" style="1" customWidth="1"/>
    <col min="7687" max="7687" width="9.140625" style="1"/>
    <col min="7688" max="7688" width="12.7109375" style="1" bestFit="1" customWidth="1"/>
    <col min="7689" max="7937" width="9.140625" style="1"/>
    <col min="7938" max="7938" width="57.28515625" style="1" bestFit="1" customWidth="1"/>
    <col min="7939" max="7941" width="16" style="1" bestFit="1" customWidth="1"/>
    <col min="7942" max="7942" width="14.140625" style="1" customWidth="1"/>
    <col min="7943" max="7943" width="9.140625" style="1"/>
    <col min="7944" max="7944" width="12.7109375" style="1" bestFit="1" customWidth="1"/>
    <col min="7945" max="8193" width="9.140625" style="1"/>
    <col min="8194" max="8194" width="57.28515625" style="1" bestFit="1" customWidth="1"/>
    <col min="8195" max="8197" width="16" style="1" bestFit="1" customWidth="1"/>
    <col min="8198" max="8198" width="14.140625" style="1" customWidth="1"/>
    <col min="8199" max="8199" width="9.140625" style="1"/>
    <col min="8200" max="8200" width="12.7109375" style="1" bestFit="1" customWidth="1"/>
    <col min="8201" max="8449" width="9.140625" style="1"/>
    <col min="8450" max="8450" width="57.28515625" style="1" bestFit="1" customWidth="1"/>
    <col min="8451" max="8453" width="16" style="1" bestFit="1" customWidth="1"/>
    <col min="8454" max="8454" width="14.140625" style="1" customWidth="1"/>
    <col min="8455" max="8455" width="9.140625" style="1"/>
    <col min="8456" max="8456" width="12.7109375" style="1" bestFit="1" customWidth="1"/>
    <col min="8457" max="8705" width="9.140625" style="1"/>
    <col min="8706" max="8706" width="57.28515625" style="1" bestFit="1" customWidth="1"/>
    <col min="8707" max="8709" width="16" style="1" bestFit="1" customWidth="1"/>
    <col min="8710" max="8710" width="14.140625" style="1" customWidth="1"/>
    <col min="8711" max="8711" width="9.140625" style="1"/>
    <col min="8712" max="8712" width="12.7109375" style="1" bestFit="1" customWidth="1"/>
    <col min="8713" max="8961" width="9.140625" style="1"/>
    <col min="8962" max="8962" width="57.28515625" style="1" bestFit="1" customWidth="1"/>
    <col min="8963" max="8965" width="16" style="1" bestFit="1" customWidth="1"/>
    <col min="8966" max="8966" width="14.140625" style="1" customWidth="1"/>
    <col min="8967" max="8967" width="9.140625" style="1"/>
    <col min="8968" max="8968" width="12.7109375" style="1" bestFit="1" customWidth="1"/>
    <col min="8969" max="9217" width="9.140625" style="1"/>
    <col min="9218" max="9218" width="57.28515625" style="1" bestFit="1" customWidth="1"/>
    <col min="9219" max="9221" width="16" style="1" bestFit="1" customWidth="1"/>
    <col min="9222" max="9222" width="14.140625" style="1" customWidth="1"/>
    <col min="9223" max="9223" width="9.140625" style="1"/>
    <col min="9224" max="9224" width="12.7109375" style="1" bestFit="1" customWidth="1"/>
    <col min="9225" max="9473" width="9.140625" style="1"/>
    <col min="9474" max="9474" width="57.28515625" style="1" bestFit="1" customWidth="1"/>
    <col min="9475" max="9477" width="16" style="1" bestFit="1" customWidth="1"/>
    <col min="9478" max="9478" width="14.140625" style="1" customWidth="1"/>
    <col min="9479" max="9479" width="9.140625" style="1"/>
    <col min="9480" max="9480" width="12.7109375" style="1" bestFit="1" customWidth="1"/>
    <col min="9481" max="9729" width="9.140625" style="1"/>
    <col min="9730" max="9730" width="57.28515625" style="1" bestFit="1" customWidth="1"/>
    <col min="9731" max="9733" width="16" style="1" bestFit="1" customWidth="1"/>
    <col min="9734" max="9734" width="14.140625" style="1" customWidth="1"/>
    <col min="9735" max="9735" width="9.140625" style="1"/>
    <col min="9736" max="9736" width="12.7109375" style="1" bestFit="1" customWidth="1"/>
    <col min="9737" max="9985" width="9.140625" style="1"/>
    <col min="9986" max="9986" width="57.28515625" style="1" bestFit="1" customWidth="1"/>
    <col min="9987" max="9989" width="16" style="1" bestFit="1" customWidth="1"/>
    <col min="9990" max="9990" width="14.140625" style="1" customWidth="1"/>
    <col min="9991" max="9991" width="9.140625" style="1"/>
    <col min="9992" max="9992" width="12.7109375" style="1" bestFit="1" customWidth="1"/>
    <col min="9993" max="10241" width="9.140625" style="1"/>
    <col min="10242" max="10242" width="57.28515625" style="1" bestFit="1" customWidth="1"/>
    <col min="10243" max="10245" width="16" style="1" bestFit="1" customWidth="1"/>
    <col min="10246" max="10246" width="14.140625" style="1" customWidth="1"/>
    <col min="10247" max="10247" width="9.140625" style="1"/>
    <col min="10248" max="10248" width="12.7109375" style="1" bestFit="1" customWidth="1"/>
    <col min="10249" max="10497" width="9.140625" style="1"/>
    <col min="10498" max="10498" width="57.28515625" style="1" bestFit="1" customWidth="1"/>
    <col min="10499" max="10501" width="16" style="1" bestFit="1" customWidth="1"/>
    <col min="10502" max="10502" width="14.140625" style="1" customWidth="1"/>
    <col min="10503" max="10503" width="9.140625" style="1"/>
    <col min="10504" max="10504" width="12.7109375" style="1" bestFit="1" customWidth="1"/>
    <col min="10505" max="10753" width="9.140625" style="1"/>
    <col min="10754" max="10754" width="57.28515625" style="1" bestFit="1" customWidth="1"/>
    <col min="10755" max="10757" width="16" style="1" bestFit="1" customWidth="1"/>
    <col min="10758" max="10758" width="14.140625" style="1" customWidth="1"/>
    <col min="10759" max="10759" width="9.140625" style="1"/>
    <col min="10760" max="10760" width="12.7109375" style="1" bestFit="1" customWidth="1"/>
    <col min="10761" max="11009" width="9.140625" style="1"/>
    <col min="11010" max="11010" width="57.28515625" style="1" bestFit="1" customWidth="1"/>
    <col min="11011" max="11013" width="16" style="1" bestFit="1" customWidth="1"/>
    <col min="11014" max="11014" width="14.140625" style="1" customWidth="1"/>
    <col min="11015" max="11015" width="9.140625" style="1"/>
    <col min="11016" max="11016" width="12.7109375" style="1" bestFit="1" customWidth="1"/>
    <col min="11017" max="11265" width="9.140625" style="1"/>
    <col min="11266" max="11266" width="57.28515625" style="1" bestFit="1" customWidth="1"/>
    <col min="11267" max="11269" width="16" style="1" bestFit="1" customWidth="1"/>
    <col min="11270" max="11270" width="14.140625" style="1" customWidth="1"/>
    <col min="11271" max="11271" width="9.140625" style="1"/>
    <col min="11272" max="11272" width="12.7109375" style="1" bestFit="1" customWidth="1"/>
    <col min="11273" max="11521" width="9.140625" style="1"/>
    <col min="11522" max="11522" width="57.28515625" style="1" bestFit="1" customWidth="1"/>
    <col min="11523" max="11525" width="16" style="1" bestFit="1" customWidth="1"/>
    <col min="11526" max="11526" width="14.140625" style="1" customWidth="1"/>
    <col min="11527" max="11527" width="9.140625" style="1"/>
    <col min="11528" max="11528" width="12.7109375" style="1" bestFit="1" customWidth="1"/>
    <col min="11529" max="11777" width="9.140625" style="1"/>
    <col min="11778" max="11778" width="57.28515625" style="1" bestFit="1" customWidth="1"/>
    <col min="11779" max="11781" width="16" style="1" bestFit="1" customWidth="1"/>
    <col min="11782" max="11782" width="14.140625" style="1" customWidth="1"/>
    <col min="11783" max="11783" width="9.140625" style="1"/>
    <col min="11784" max="11784" width="12.7109375" style="1" bestFit="1" customWidth="1"/>
    <col min="11785" max="12033" width="9.140625" style="1"/>
    <col min="12034" max="12034" width="57.28515625" style="1" bestFit="1" customWidth="1"/>
    <col min="12035" max="12037" width="16" style="1" bestFit="1" customWidth="1"/>
    <col min="12038" max="12038" width="14.140625" style="1" customWidth="1"/>
    <col min="12039" max="12039" width="9.140625" style="1"/>
    <col min="12040" max="12040" width="12.7109375" style="1" bestFit="1" customWidth="1"/>
    <col min="12041" max="12289" width="9.140625" style="1"/>
    <col min="12290" max="12290" width="57.28515625" style="1" bestFit="1" customWidth="1"/>
    <col min="12291" max="12293" width="16" style="1" bestFit="1" customWidth="1"/>
    <col min="12294" max="12294" width="14.140625" style="1" customWidth="1"/>
    <col min="12295" max="12295" width="9.140625" style="1"/>
    <col min="12296" max="12296" width="12.7109375" style="1" bestFit="1" customWidth="1"/>
    <col min="12297" max="12545" width="9.140625" style="1"/>
    <col min="12546" max="12546" width="57.28515625" style="1" bestFit="1" customWidth="1"/>
    <col min="12547" max="12549" width="16" style="1" bestFit="1" customWidth="1"/>
    <col min="12550" max="12550" width="14.140625" style="1" customWidth="1"/>
    <col min="12551" max="12551" width="9.140625" style="1"/>
    <col min="12552" max="12552" width="12.7109375" style="1" bestFit="1" customWidth="1"/>
    <col min="12553" max="12801" width="9.140625" style="1"/>
    <col min="12802" max="12802" width="57.28515625" style="1" bestFit="1" customWidth="1"/>
    <col min="12803" max="12805" width="16" style="1" bestFit="1" customWidth="1"/>
    <col min="12806" max="12806" width="14.140625" style="1" customWidth="1"/>
    <col min="12807" max="12807" width="9.140625" style="1"/>
    <col min="12808" max="12808" width="12.7109375" style="1" bestFit="1" customWidth="1"/>
    <col min="12809" max="13057" width="9.140625" style="1"/>
    <col min="13058" max="13058" width="57.28515625" style="1" bestFit="1" customWidth="1"/>
    <col min="13059" max="13061" width="16" style="1" bestFit="1" customWidth="1"/>
    <col min="13062" max="13062" width="14.140625" style="1" customWidth="1"/>
    <col min="13063" max="13063" width="9.140625" style="1"/>
    <col min="13064" max="13064" width="12.7109375" style="1" bestFit="1" customWidth="1"/>
    <col min="13065" max="13313" width="9.140625" style="1"/>
    <col min="13314" max="13314" width="57.28515625" style="1" bestFit="1" customWidth="1"/>
    <col min="13315" max="13317" width="16" style="1" bestFit="1" customWidth="1"/>
    <col min="13318" max="13318" width="14.140625" style="1" customWidth="1"/>
    <col min="13319" max="13319" width="9.140625" style="1"/>
    <col min="13320" max="13320" width="12.7109375" style="1" bestFit="1" customWidth="1"/>
    <col min="13321" max="13569" width="9.140625" style="1"/>
    <col min="13570" max="13570" width="57.28515625" style="1" bestFit="1" customWidth="1"/>
    <col min="13571" max="13573" width="16" style="1" bestFit="1" customWidth="1"/>
    <col min="13574" max="13574" width="14.140625" style="1" customWidth="1"/>
    <col min="13575" max="13575" width="9.140625" style="1"/>
    <col min="13576" max="13576" width="12.7109375" style="1" bestFit="1" customWidth="1"/>
    <col min="13577" max="13825" width="9.140625" style="1"/>
    <col min="13826" max="13826" width="57.28515625" style="1" bestFit="1" customWidth="1"/>
    <col min="13827" max="13829" width="16" style="1" bestFit="1" customWidth="1"/>
    <col min="13830" max="13830" width="14.140625" style="1" customWidth="1"/>
    <col min="13831" max="13831" width="9.140625" style="1"/>
    <col min="13832" max="13832" width="12.7109375" style="1" bestFit="1" customWidth="1"/>
    <col min="13833" max="14081" width="9.140625" style="1"/>
    <col min="14082" max="14082" width="57.28515625" style="1" bestFit="1" customWidth="1"/>
    <col min="14083" max="14085" width="16" style="1" bestFit="1" customWidth="1"/>
    <col min="14086" max="14086" width="14.140625" style="1" customWidth="1"/>
    <col min="14087" max="14087" width="9.140625" style="1"/>
    <col min="14088" max="14088" width="12.7109375" style="1" bestFit="1" customWidth="1"/>
    <col min="14089" max="14337" width="9.140625" style="1"/>
    <col min="14338" max="14338" width="57.28515625" style="1" bestFit="1" customWidth="1"/>
    <col min="14339" max="14341" width="16" style="1" bestFit="1" customWidth="1"/>
    <col min="14342" max="14342" width="14.140625" style="1" customWidth="1"/>
    <col min="14343" max="14343" width="9.140625" style="1"/>
    <col min="14344" max="14344" width="12.7109375" style="1" bestFit="1" customWidth="1"/>
    <col min="14345" max="14593" width="9.140625" style="1"/>
    <col min="14594" max="14594" width="57.28515625" style="1" bestFit="1" customWidth="1"/>
    <col min="14595" max="14597" width="16" style="1" bestFit="1" customWidth="1"/>
    <col min="14598" max="14598" width="14.140625" style="1" customWidth="1"/>
    <col min="14599" max="14599" width="9.140625" style="1"/>
    <col min="14600" max="14600" width="12.7109375" style="1" bestFit="1" customWidth="1"/>
    <col min="14601" max="14849" width="9.140625" style="1"/>
    <col min="14850" max="14850" width="57.28515625" style="1" bestFit="1" customWidth="1"/>
    <col min="14851" max="14853" width="16" style="1" bestFit="1" customWidth="1"/>
    <col min="14854" max="14854" width="14.140625" style="1" customWidth="1"/>
    <col min="14855" max="14855" width="9.140625" style="1"/>
    <col min="14856" max="14856" width="12.7109375" style="1" bestFit="1" customWidth="1"/>
    <col min="14857" max="15105" width="9.140625" style="1"/>
    <col min="15106" max="15106" width="57.28515625" style="1" bestFit="1" customWidth="1"/>
    <col min="15107" max="15109" width="16" style="1" bestFit="1" customWidth="1"/>
    <col min="15110" max="15110" width="14.140625" style="1" customWidth="1"/>
    <col min="15111" max="15111" width="9.140625" style="1"/>
    <col min="15112" max="15112" width="12.7109375" style="1" bestFit="1" customWidth="1"/>
    <col min="15113" max="15361" width="9.140625" style="1"/>
    <col min="15362" max="15362" width="57.28515625" style="1" bestFit="1" customWidth="1"/>
    <col min="15363" max="15365" width="16" style="1" bestFit="1" customWidth="1"/>
    <col min="15366" max="15366" width="14.140625" style="1" customWidth="1"/>
    <col min="15367" max="15367" width="9.140625" style="1"/>
    <col min="15368" max="15368" width="12.7109375" style="1" bestFit="1" customWidth="1"/>
    <col min="15369" max="15617" width="9.140625" style="1"/>
    <col min="15618" max="15618" width="57.28515625" style="1" bestFit="1" customWidth="1"/>
    <col min="15619" max="15621" width="16" style="1" bestFit="1" customWidth="1"/>
    <col min="15622" max="15622" width="14.140625" style="1" customWidth="1"/>
    <col min="15623" max="15623" width="9.140625" style="1"/>
    <col min="15624" max="15624" width="12.7109375" style="1" bestFit="1" customWidth="1"/>
    <col min="15625" max="15873" width="9.140625" style="1"/>
    <col min="15874" max="15874" width="57.28515625" style="1" bestFit="1" customWidth="1"/>
    <col min="15875" max="15877" width="16" style="1" bestFit="1" customWidth="1"/>
    <col min="15878" max="15878" width="14.140625" style="1" customWidth="1"/>
    <col min="15879" max="15879" width="9.140625" style="1"/>
    <col min="15880" max="15880" width="12.7109375" style="1" bestFit="1" customWidth="1"/>
    <col min="15881" max="16129" width="9.140625" style="1"/>
    <col min="16130" max="16130" width="57.28515625" style="1" bestFit="1" customWidth="1"/>
    <col min="16131" max="16133" width="16" style="1" bestFit="1" customWidth="1"/>
    <col min="16134" max="16134" width="14.140625" style="1" customWidth="1"/>
    <col min="16135" max="16135" width="9.140625" style="1"/>
    <col min="16136" max="16136" width="12.7109375" style="1" bestFit="1" customWidth="1"/>
    <col min="16137" max="16384" width="9.140625" style="1"/>
  </cols>
  <sheetData>
    <row r="2" spans="2:9" ht="45" x14ac:dyDescent="0.2">
      <c r="B2" s="2"/>
      <c r="C2" s="3" t="s">
        <v>2</v>
      </c>
      <c r="D2" s="3" t="s">
        <v>157</v>
      </c>
      <c r="E2" s="3" t="s">
        <v>148</v>
      </c>
      <c r="F2" s="3" t="s">
        <v>11</v>
      </c>
    </row>
    <row r="3" spans="2:9" x14ac:dyDescent="0.2">
      <c r="B3" s="1" t="s">
        <v>12</v>
      </c>
      <c r="D3" s="4">
        <f>+'[3]Summary Category RPW Data'!$C$142</f>
        <v>6362897</v>
      </c>
      <c r="E3" s="4">
        <f>+'[3]Summary Category RPW Data'!$C$143</f>
        <v>287435</v>
      </c>
      <c r="F3" s="4">
        <f>SUM(D3:E3)</f>
        <v>6650332</v>
      </c>
    </row>
    <row r="4" spans="2:9" x14ac:dyDescent="0.2">
      <c r="B4" s="1" t="s">
        <v>13</v>
      </c>
      <c r="C4" s="4"/>
      <c r="D4" s="4">
        <f>+C15</f>
        <v>6358973.466</v>
      </c>
      <c r="E4" s="4">
        <f>+C15</f>
        <v>6358973.466</v>
      </c>
    </row>
    <row r="5" spans="2:9" x14ac:dyDescent="0.2">
      <c r="D5" s="4">
        <f>SUM(D8:D81)</f>
        <v>6362897</v>
      </c>
      <c r="E5" s="4">
        <f>SUM(E8:E81)</f>
        <v>287435</v>
      </c>
    </row>
    <row r="6" spans="2:9" x14ac:dyDescent="0.2">
      <c r="D6" s="5" t="str">
        <f>IF(D5=D3, "Good","Error")</f>
        <v>Good</v>
      </c>
      <c r="E6" s="5" t="str">
        <f>IF(E5=E3, "Good","Error")</f>
        <v>Good</v>
      </c>
    </row>
    <row r="8" spans="2:9" ht="15.75" x14ac:dyDescent="0.25">
      <c r="B8" s="107" t="s">
        <v>111</v>
      </c>
      <c r="C8" s="6"/>
    </row>
    <row r="9" spans="2:9" x14ac:dyDescent="0.2">
      <c r="B9" s="108" t="s">
        <v>112</v>
      </c>
      <c r="C9" s="4">
        <f>+'[3]Summary Category RPW Data'!$E$138/1000</f>
        <v>603253.98199999996</v>
      </c>
      <c r="D9" s="8">
        <f>+$C9/D$4*D$3</f>
        <v>603626.19420086348</v>
      </c>
      <c r="E9" s="8">
        <f>+$C9/E$4*E$3</f>
        <v>27267.971669213755</v>
      </c>
      <c r="F9" s="9">
        <f>SUM(D9:E9)</f>
        <v>630894.16587007721</v>
      </c>
      <c r="H9" s="59" t="s">
        <v>112</v>
      </c>
      <c r="I9" s="9">
        <f>+F9</f>
        <v>630894.16587007721</v>
      </c>
    </row>
    <row r="10" spans="2:9" ht="15.75" x14ac:dyDescent="0.25">
      <c r="B10" s="109" t="s">
        <v>113</v>
      </c>
      <c r="C10" s="4"/>
      <c r="H10" s="59" t="s">
        <v>230</v>
      </c>
      <c r="I10" s="4">
        <f>+F14</f>
        <v>6019437.834129924</v>
      </c>
    </row>
    <row r="11" spans="2:9" x14ac:dyDescent="0.2">
      <c r="B11" s="7" t="s">
        <v>114</v>
      </c>
      <c r="C11" s="4">
        <f>+'[3]Summary Category RPW Data'!$E$139/1000</f>
        <v>4279517.7410000004</v>
      </c>
      <c r="D11" s="8">
        <f t="shared" ref="D11:E13" si="0">+$C11/D$4*D$3</f>
        <v>4282158.2353266701</v>
      </c>
      <c r="E11" s="8">
        <f t="shared" si="0"/>
        <v>193440.52754132613</v>
      </c>
      <c r="F11" s="9">
        <f>SUM(D11:E11)</f>
        <v>4475598.7628679965</v>
      </c>
      <c r="H11" s="1" t="s">
        <v>231</v>
      </c>
      <c r="I11" s="4">
        <f>+I9+I10</f>
        <v>6650332.0000000009</v>
      </c>
    </row>
    <row r="12" spans="2:9" x14ac:dyDescent="0.2">
      <c r="B12" s="7" t="s">
        <v>115</v>
      </c>
      <c r="C12" s="4">
        <f>+'[3]Summary Category RPW Data'!$E$140/1000</f>
        <v>1386978.916</v>
      </c>
      <c r="D12" s="8">
        <f t="shared" si="0"/>
        <v>1387834.692323538</v>
      </c>
      <c r="E12" s="8">
        <f t="shared" si="0"/>
        <v>62693.497126861577</v>
      </c>
      <c r="F12" s="9">
        <f>SUM(D12:E12)</f>
        <v>1450528.1894503995</v>
      </c>
    </row>
    <row r="13" spans="2:9" x14ac:dyDescent="0.2">
      <c r="B13" s="7" t="s">
        <v>116</v>
      </c>
      <c r="C13" s="4">
        <f>+'[3]Summary Category RPW Data'!$E$141/1000</f>
        <v>89222.827000000005</v>
      </c>
      <c r="D13" s="8">
        <f t="shared" si="0"/>
        <v>89277.878148928736</v>
      </c>
      <c r="E13" s="8">
        <f t="shared" si="0"/>
        <v>4033.0036625985508</v>
      </c>
      <c r="F13" s="9">
        <f>SUM(D13:E13)</f>
        <v>93310.881811527288</v>
      </c>
    </row>
    <row r="14" spans="2:9" ht="15.75" x14ac:dyDescent="0.25">
      <c r="B14" s="109" t="s">
        <v>117</v>
      </c>
      <c r="C14" s="80">
        <f>SUM(C11:C13)</f>
        <v>5755719.4840000002</v>
      </c>
      <c r="F14" s="80">
        <f>SUM(F11:F13)</f>
        <v>6019437.834129924</v>
      </c>
    </row>
    <row r="15" spans="2:9" ht="15.75" x14ac:dyDescent="0.25">
      <c r="B15" s="95" t="s">
        <v>118</v>
      </c>
      <c r="C15" s="4">
        <f>SUM(C14,C9)</f>
        <v>6358973.466</v>
      </c>
      <c r="F15" s="4">
        <f>SUM(F14,F9)</f>
        <v>6650332.0000000009</v>
      </c>
      <c r="H15" s="4"/>
    </row>
    <row r="16" spans="2:9" x14ac:dyDescent="0.2">
      <c r="H16" s="4"/>
    </row>
    <row r="18" spans="2:2" x14ac:dyDescent="0.2">
      <c r="B18" s="16"/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A1:U74"/>
  <sheetViews>
    <sheetView topLeftCell="I1" workbookViewId="0">
      <selection activeCell="T21" sqref="T21"/>
    </sheetView>
  </sheetViews>
  <sheetFormatPr defaultRowHeight="12.75" x14ac:dyDescent="0.2"/>
  <cols>
    <col min="1" max="2" width="9.140625" style="110"/>
    <col min="3" max="3" width="57.28515625" style="110" bestFit="1" customWidth="1"/>
    <col min="4" max="4" width="14.140625" style="110" bestFit="1" customWidth="1"/>
    <col min="5" max="5" width="14.28515625" style="110" customWidth="1"/>
    <col min="6" max="8" width="14" style="110" customWidth="1"/>
    <col min="9" max="9" width="14.7109375" style="110" customWidth="1"/>
    <col min="10" max="10" width="15.140625" style="110" customWidth="1"/>
    <col min="11" max="11" width="13.7109375" style="110" customWidth="1"/>
    <col min="12" max="12" width="11" style="110" customWidth="1"/>
    <col min="13" max="13" width="13.7109375" style="110" customWidth="1"/>
    <col min="14" max="14" width="9.140625" style="110"/>
    <col min="15" max="15" width="48.85546875" style="110" bestFit="1" customWidth="1"/>
    <col min="16" max="16" width="11.42578125" style="110" hidden="1" customWidth="1"/>
    <col min="17" max="17" width="10.42578125" style="110" hidden="1" customWidth="1"/>
    <col min="18" max="18" width="13.28515625" style="110" hidden="1" customWidth="1"/>
    <col min="19" max="19" width="9.140625" style="110"/>
    <col min="20" max="20" width="11.28515625" style="110" bestFit="1" customWidth="1"/>
    <col min="21" max="21" width="17.42578125" style="110" bestFit="1" customWidth="1"/>
    <col min="22" max="258" width="9.140625" style="110"/>
    <col min="259" max="259" width="57.28515625" style="110" bestFit="1" customWidth="1"/>
    <col min="260" max="260" width="14.140625" style="110" bestFit="1" customWidth="1"/>
    <col min="261" max="261" width="14.28515625" style="110" customWidth="1"/>
    <col min="262" max="264" width="14" style="110" customWidth="1"/>
    <col min="265" max="265" width="14.7109375" style="110" customWidth="1"/>
    <col min="266" max="266" width="15.140625" style="110" customWidth="1"/>
    <col min="267" max="267" width="13.7109375" style="110" customWidth="1"/>
    <col min="268" max="268" width="11" style="110" customWidth="1"/>
    <col min="269" max="269" width="13.7109375" style="110" customWidth="1"/>
    <col min="270" max="514" width="9.140625" style="110"/>
    <col min="515" max="515" width="57.28515625" style="110" bestFit="1" customWidth="1"/>
    <col min="516" max="516" width="14.140625" style="110" bestFit="1" customWidth="1"/>
    <col min="517" max="517" width="14.28515625" style="110" customWidth="1"/>
    <col min="518" max="520" width="14" style="110" customWidth="1"/>
    <col min="521" max="521" width="14.7109375" style="110" customWidth="1"/>
    <col min="522" max="522" width="15.140625" style="110" customWidth="1"/>
    <col min="523" max="523" width="13.7109375" style="110" customWidth="1"/>
    <col min="524" max="524" width="11" style="110" customWidth="1"/>
    <col min="525" max="525" width="13.7109375" style="110" customWidth="1"/>
    <col min="526" max="770" width="9.140625" style="110"/>
    <col min="771" max="771" width="57.28515625" style="110" bestFit="1" customWidth="1"/>
    <col min="772" max="772" width="14.140625" style="110" bestFit="1" customWidth="1"/>
    <col min="773" max="773" width="14.28515625" style="110" customWidth="1"/>
    <col min="774" max="776" width="14" style="110" customWidth="1"/>
    <col min="777" max="777" width="14.7109375" style="110" customWidth="1"/>
    <col min="778" max="778" width="15.140625" style="110" customWidth="1"/>
    <col min="779" max="779" width="13.7109375" style="110" customWidth="1"/>
    <col min="780" max="780" width="11" style="110" customWidth="1"/>
    <col min="781" max="781" width="13.7109375" style="110" customWidth="1"/>
    <col min="782" max="1026" width="9.140625" style="110"/>
    <col min="1027" max="1027" width="57.28515625" style="110" bestFit="1" customWidth="1"/>
    <col min="1028" max="1028" width="14.140625" style="110" bestFit="1" customWidth="1"/>
    <col min="1029" max="1029" width="14.28515625" style="110" customWidth="1"/>
    <col min="1030" max="1032" width="14" style="110" customWidth="1"/>
    <col min="1033" max="1033" width="14.7109375" style="110" customWidth="1"/>
    <col min="1034" max="1034" width="15.140625" style="110" customWidth="1"/>
    <col min="1035" max="1035" width="13.7109375" style="110" customWidth="1"/>
    <col min="1036" max="1036" width="11" style="110" customWidth="1"/>
    <col min="1037" max="1037" width="13.7109375" style="110" customWidth="1"/>
    <col min="1038" max="1282" width="9.140625" style="110"/>
    <col min="1283" max="1283" width="57.28515625" style="110" bestFit="1" customWidth="1"/>
    <col min="1284" max="1284" width="14.140625" style="110" bestFit="1" customWidth="1"/>
    <col min="1285" max="1285" width="14.28515625" style="110" customWidth="1"/>
    <col min="1286" max="1288" width="14" style="110" customWidth="1"/>
    <col min="1289" max="1289" width="14.7109375" style="110" customWidth="1"/>
    <col min="1290" max="1290" width="15.140625" style="110" customWidth="1"/>
    <col min="1291" max="1291" width="13.7109375" style="110" customWidth="1"/>
    <col min="1292" max="1292" width="11" style="110" customWidth="1"/>
    <col min="1293" max="1293" width="13.7109375" style="110" customWidth="1"/>
    <col min="1294" max="1538" width="9.140625" style="110"/>
    <col min="1539" max="1539" width="57.28515625" style="110" bestFit="1" customWidth="1"/>
    <col min="1540" max="1540" width="14.140625" style="110" bestFit="1" customWidth="1"/>
    <col min="1541" max="1541" width="14.28515625" style="110" customWidth="1"/>
    <col min="1542" max="1544" width="14" style="110" customWidth="1"/>
    <col min="1545" max="1545" width="14.7109375" style="110" customWidth="1"/>
    <col min="1546" max="1546" width="15.140625" style="110" customWidth="1"/>
    <col min="1547" max="1547" width="13.7109375" style="110" customWidth="1"/>
    <col min="1548" max="1548" width="11" style="110" customWidth="1"/>
    <col min="1549" max="1549" width="13.7109375" style="110" customWidth="1"/>
    <col min="1550" max="1794" width="9.140625" style="110"/>
    <col min="1795" max="1795" width="57.28515625" style="110" bestFit="1" customWidth="1"/>
    <col min="1796" max="1796" width="14.140625" style="110" bestFit="1" customWidth="1"/>
    <col min="1797" max="1797" width="14.28515625" style="110" customWidth="1"/>
    <col min="1798" max="1800" width="14" style="110" customWidth="1"/>
    <col min="1801" max="1801" width="14.7109375" style="110" customWidth="1"/>
    <col min="1802" max="1802" width="15.140625" style="110" customWidth="1"/>
    <col min="1803" max="1803" width="13.7109375" style="110" customWidth="1"/>
    <col min="1804" max="1804" width="11" style="110" customWidth="1"/>
    <col min="1805" max="1805" width="13.7109375" style="110" customWidth="1"/>
    <col min="1806" max="2050" width="9.140625" style="110"/>
    <col min="2051" max="2051" width="57.28515625" style="110" bestFit="1" customWidth="1"/>
    <col min="2052" max="2052" width="14.140625" style="110" bestFit="1" customWidth="1"/>
    <col min="2053" max="2053" width="14.28515625" style="110" customWidth="1"/>
    <col min="2054" max="2056" width="14" style="110" customWidth="1"/>
    <col min="2057" max="2057" width="14.7109375" style="110" customWidth="1"/>
    <col min="2058" max="2058" width="15.140625" style="110" customWidth="1"/>
    <col min="2059" max="2059" width="13.7109375" style="110" customWidth="1"/>
    <col min="2060" max="2060" width="11" style="110" customWidth="1"/>
    <col min="2061" max="2061" width="13.7109375" style="110" customWidth="1"/>
    <col min="2062" max="2306" width="9.140625" style="110"/>
    <col min="2307" max="2307" width="57.28515625" style="110" bestFit="1" customWidth="1"/>
    <col min="2308" max="2308" width="14.140625" style="110" bestFit="1" customWidth="1"/>
    <col min="2309" max="2309" width="14.28515625" style="110" customWidth="1"/>
    <col min="2310" max="2312" width="14" style="110" customWidth="1"/>
    <col min="2313" max="2313" width="14.7109375" style="110" customWidth="1"/>
    <col min="2314" max="2314" width="15.140625" style="110" customWidth="1"/>
    <col min="2315" max="2315" width="13.7109375" style="110" customWidth="1"/>
    <col min="2316" max="2316" width="11" style="110" customWidth="1"/>
    <col min="2317" max="2317" width="13.7109375" style="110" customWidth="1"/>
    <col min="2318" max="2562" width="9.140625" style="110"/>
    <col min="2563" max="2563" width="57.28515625" style="110" bestFit="1" customWidth="1"/>
    <col min="2564" max="2564" width="14.140625" style="110" bestFit="1" customWidth="1"/>
    <col min="2565" max="2565" width="14.28515625" style="110" customWidth="1"/>
    <col min="2566" max="2568" width="14" style="110" customWidth="1"/>
    <col min="2569" max="2569" width="14.7109375" style="110" customWidth="1"/>
    <col min="2570" max="2570" width="15.140625" style="110" customWidth="1"/>
    <col min="2571" max="2571" width="13.7109375" style="110" customWidth="1"/>
    <col min="2572" max="2572" width="11" style="110" customWidth="1"/>
    <col min="2573" max="2573" width="13.7109375" style="110" customWidth="1"/>
    <col min="2574" max="2818" width="9.140625" style="110"/>
    <col min="2819" max="2819" width="57.28515625" style="110" bestFit="1" customWidth="1"/>
    <col min="2820" max="2820" width="14.140625" style="110" bestFit="1" customWidth="1"/>
    <col min="2821" max="2821" width="14.28515625" style="110" customWidth="1"/>
    <col min="2822" max="2824" width="14" style="110" customWidth="1"/>
    <col min="2825" max="2825" width="14.7109375" style="110" customWidth="1"/>
    <col min="2826" max="2826" width="15.140625" style="110" customWidth="1"/>
    <col min="2827" max="2827" width="13.7109375" style="110" customWidth="1"/>
    <col min="2828" max="2828" width="11" style="110" customWidth="1"/>
    <col min="2829" max="2829" width="13.7109375" style="110" customWidth="1"/>
    <col min="2830" max="3074" width="9.140625" style="110"/>
    <col min="3075" max="3075" width="57.28515625" style="110" bestFit="1" customWidth="1"/>
    <col min="3076" max="3076" width="14.140625" style="110" bestFit="1" customWidth="1"/>
    <col min="3077" max="3077" width="14.28515625" style="110" customWidth="1"/>
    <col min="3078" max="3080" width="14" style="110" customWidth="1"/>
    <col min="3081" max="3081" width="14.7109375" style="110" customWidth="1"/>
    <col min="3082" max="3082" width="15.140625" style="110" customWidth="1"/>
    <col min="3083" max="3083" width="13.7109375" style="110" customWidth="1"/>
    <col min="3084" max="3084" width="11" style="110" customWidth="1"/>
    <col min="3085" max="3085" width="13.7109375" style="110" customWidth="1"/>
    <col min="3086" max="3330" width="9.140625" style="110"/>
    <col min="3331" max="3331" width="57.28515625" style="110" bestFit="1" customWidth="1"/>
    <col min="3332" max="3332" width="14.140625" style="110" bestFit="1" customWidth="1"/>
    <col min="3333" max="3333" width="14.28515625" style="110" customWidth="1"/>
    <col min="3334" max="3336" width="14" style="110" customWidth="1"/>
    <col min="3337" max="3337" width="14.7109375" style="110" customWidth="1"/>
    <col min="3338" max="3338" width="15.140625" style="110" customWidth="1"/>
    <col min="3339" max="3339" width="13.7109375" style="110" customWidth="1"/>
    <col min="3340" max="3340" width="11" style="110" customWidth="1"/>
    <col min="3341" max="3341" width="13.7109375" style="110" customWidth="1"/>
    <col min="3342" max="3586" width="9.140625" style="110"/>
    <col min="3587" max="3587" width="57.28515625" style="110" bestFit="1" customWidth="1"/>
    <col min="3588" max="3588" width="14.140625" style="110" bestFit="1" customWidth="1"/>
    <col min="3589" max="3589" width="14.28515625" style="110" customWidth="1"/>
    <col min="3590" max="3592" width="14" style="110" customWidth="1"/>
    <col min="3593" max="3593" width="14.7109375" style="110" customWidth="1"/>
    <col min="3594" max="3594" width="15.140625" style="110" customWidth="1"/>
    <col min="3595" max="3595" width="13.7109375" style="110" customWidth="1"/>
    <col min="3596" max="3596" width="11" style="110" customWidth="1"/>
    <col min="3597" max="3597" width="13.7109375" style="110" customWidth="1"/>
    <col min="3598" max="3842" width="9.140625" style="110"/>
    <col min="3843" max="3843" width="57.28515625" style="110" bestFit="1" customWidth="1"/>
    <col min="3844" max="3844" width="14.140625" style="110" bestFit="1" customWidth="1"/>
    <col min="3845" max="3845" width="14.28515625" style="110" customWidth="1"/>
    <col min="3846" max="3848" width="14" style="110" customWidth="1"/>
    <col min="3849" max="3849" width="14.7109375" style="110" customWidth="1"/>
    <col min="3850" max="3850" width="15.140625" style="110" customWidth="1"/>
    <col min="3851" max="3851" width="13.7109375" style="110" customWidth="1"/>
    <col min="3852" max="3852" width="11" style="110" customWidth="1"/>
    <col min="3853" max="3853" width="13.7109375" style="110" customWidth="1"/>
    <col min="3854" max="4098" width="9.140625" style="110"/>
    <col min="4099" max="4099" width="57.28515625" style="110" bestFit="1" customWidth="1"/>
    <col min="4100" max="4100" width="14.140625" style="110" bestFit="1" customWidth="1"/>
    <col min="4101" max="4101" width="14.28515625" style="110" customWidth="1"/>
    <col min="4102" max="4104" width="14" style="110" customWidth="1"/>
    <col min="4105" max="4105" width="14.7109375" style="110" customWidth="1"/>
    <col min="4106" max="4106" width="15.140625" style="110" customWidth="1"/>
    <col min="4107" max="4107" width="13.7109375" style="110" customWidth="1"/>
    <col min="4108" max="4108" width="11" style="110" customWidth="1"/>
    <col min="4109" max="4109" width="13.7109375" style="110" customWidth="1"/>
    <col min="4110" max="4354" width="9.140625" style="110"/>
    <col min="4355" max="4355" width="57.28515625" style="110" bestFit="1" customWidth="1"/>
    <col min="4356" max="4356" width="14.140625" style="110" bestFit="1" customWidth="1"/>
    <col min="4357" max="4357" width="14.28515625" style="110" customWidth="1"/>
    <col min="4358" max="4360" width="14" style="110" customWidth="1"/>
    <col min="4361" max="4361" width="14.7109375" style="110" customWidth="1"/>
    <col min="4362" max="4362" width="15.140625" style="110" customWidth="1"/>
    <col min="4363" max="4363" width="13.7109375" style="110" customWidth="1"/>
    <col min="4364" max="4364" width="11" style="110" customWidth="1"/>
    <col min="4365" max="4365" width="13.7109375" style="110" customWidth="1"/>
    <col min="4366" max="4610" width="9.140625" style="110"/>
    <col min="4611" max="4611" width="57.28515625" style="110" bestFit="1" customWidth="1"/>
    <col min="4612" max="4612" width="14.140625" style="110" bestFit="1" customWidth="1"/>
    <col min="4613" max="4613" width="14.28515625" style="110" customWidth="1"/>
    <col min="4614" max="4616" width="14" style="110" customWidth="1"/>
    <col min="4617" max="4617" width="14.7109375" style="110" customWidth="1"/>
    <col min="4618" max="4618" width="15.140625" style="110" customWidth="1"/>
    <col min="4619" max="4619" width="13.7109375" style="110" customWidth="1"/>
    <col min="4620" max="4620" width="11" style="110" customWidth="1"/>
    <col min="4621" max="4621" width="13.7109375" style="110" customWidth="1"/>
    <col min="4622" max="4866" width="9.140625" style="110"/>
    <col min="4867" max="4867" width="57.28515625" style="110" bestFit="1" customWidth="1"/>
    <col min="4868" max="4868" width="14.140625" style="110" bestFit="1" customWidth="1"/>
    <col min="4869" max="4869" width="14.28515625" style="110" customWidth="1"/>
    <col min="4870" max="4872" width="14" style="110" customWidth="1"/>
    <col min="4873" max="4873" width="14.7109375" style="110" customWidth="1"/>
    <col min="4874" max="4874" width="15.140625" style="110" customWidth="1"/>
    <col min="4875" max="4875" width="13.7109375" style="110" customWidth="1"/>
    <col min="4876" max="4876" width="11" style="110" customWidth="1"/>
    <col min="4877" max="4877" width="13.7109375" style="110" customWidth="1"/>
    <col min="4878" max="5122" width="9.140625" style="110"/>
    <col min="5123" max="5123" width="57.28515625" style="110" bestFit="1" customWidth="1"/>
    <col min="5124" max="5124" width="14.140625" style="110" bestFit="1" customWidth="1"/>
    <col min="5125" max="5125" width="14.28515625" style="110" customWidth="1"/>
    <col min="5126" max="5128" width="14" style="110" customWidth="1"/>
    <col min="5129" max="5129" width="14.7109375" style="110" customWidth="1"/>
    <col min="5130" max="5130" width="15.140625" style="110" customWidth="1"/>
    <col min="5131" max="5131" width="13.7109375" style="110" customWidth="1"/>
    <col min="5132" max="5132" width="11" style="110" customWidth="1"/>
    <col min="5133" max="5133" width="13.7109375" style="110" customWidth="1"/>
    <col min="5134" max="5378" width="9.140625" style="110"/>
    <col min="5379" max="5379" width="57.28515625" style="110" bestFit="1" customWidth="1"/>
    <col min="5380" max="5380" width="14.140625" style="110" bestFit="1" customWidth="1"/>
    <col min="5381" max="5381" width="14.28515625" style="110" customWidth="1"/>
    <col min="5382" max="5384" width="14" style="110" customWidth="1"/>
    <col min="5385" max="5385" width="14.7109375" style="110" customWidth="1"/>
    <col min="5386" max="5386" width="15.140625" style="110" customWidth="1"/>
    <col min="5387" max="5387" width="13.7109375" style="110" customWidth="1"/>
    <col min="5388" max="5388" width="11" style="110" customWidth="1"/>
    <col min="5389" max="5389" width="13.7109375" style="110" customWidth="1"/>
    <col min="5390" max="5634" width="9.140625" style="110"/>
    <col min="5635" max="5635" width="57.28515625" style="110" bestFit="1" customWidth="1"/>
    <col min="5636" max="5636" width="14.140625" style="110" bestFit="1" customWidth="1"/>
    <col min="5637" max="5637" width="14.28515625" style="110" customWidth="1"/>
    <col min="5638" max="5640" width="14" style="110" customWidth="1"/>
    <col min="5641" max="5641" width="14.7109375" style="110" customWidth="1"/>
    <col min="5642" max="5642" width="15.140625" style="110" customWidth="1"/>
    <col min="5643" max="5643" width="13.7109375" style="110" customWidth="1"/>
    <col min="5644" max="5644" width="11" style="110" customWidth="1"/>
    <col min="5645" max="5645" width="13.7109375" style="110" customWidth="1"/>
    <col min="5646" max="5890" width="9.140625" style="110"/>
    <col min="5891" max="5891" width="57.28515625" style="110" bestFit="1" customWidth="1"/>
    <col min="5892" max="5892" width="14.140625" style="110" bestFit="1" customWidth="1"/>
    <col min="5893" max="5893" width="14.28515625" style="110" customWidth="1"/>
    <col min="5894" max="5896" width="14" style="110" customWidth="1"/>
    <col min="5897" max="5897" width="14.7109375" style="110" customWidth="1"/>
    <col min="5898" max="5898" width="15.140625" style="110" customWidth="1"/>
    <col min="5899" max="5899" width="13.7109375" style="110" customWidth="1"/>
    <col min="5900" max="5900" width="11" style="110" customWidth="1"/>
    <col min="5901" max="5901" width="13.7109375" style="110" customWidth="1"/>
    <col min="5902" max="6146" width="9.140625" style="110"/>
    <col min="6147" max="6147" width="57.28515625" style="110" bestFit="1" customWidth="1"/>
    <col min="6148" max="6148" width="14.140625" style="110" bestFit="1" customWidth="1"/>
    <col min="6149" max="6149" width="14.28515625" style="110" customWidth="1"/>
    <col min="6150" max="6152" width="14" style="110" customWidth="1"/>
    <col min="6153" max="6153" width="14.7109375" style="110" customWidth="1"/>
    <col min="6154" max="6154" width="15.140625" style="110" customWidth="1"/>
    <col min="6155" max="6155" width="13.7109375" style="110" customWidth="1"/>
    <col min="6156" max="6156" width="11" style="110" customWidth="1"/>
    <col min="6157" max="6157" width="13.7109375" style="110" customWidth="1"/>
    <col min="6158" max="6402" width="9.140625" style="110"/>
    <col min="6403" max="6403" width="57.28515625" style="110" bestFit="1" customWidth="1"/>
    <col min="6404" max="6404" width="14.140625" style="110" bestFit="1" customWidth="1"/>
    <col min="6405" max="6405" width="14.28515625" style="110" customWidth="1"/>
    <col min="6406" max="6408" width="14" style="110" customWidth="1"/>
    <col min="6409" max="6409" width="14.7109375" style="110" customWidth="1"/>
    <col min="6410" max="6410" width="15.140625" style="110" customWidth="1"/>
    <col min="6411" max="6411" width="13.7109375" style="110" customWidth="1"/>
    <col min="6412" max="6412" width="11" style="110" customWidth="1"/>
    <col min="6413" max="6413" width="13.7109375" style="110" customWidth="1"/>
    <col min="6414" max="6658" width="9.140625" style="110"/>
    <col min="6659" max="6659" width="57.28515625" style="110" bestFit="1" customWidth="1"/>
    <col min="6660" max="6660" width="14.140625" style="110" bestFit="1" customWidth="1"/>
    <col min="6661" max="6661" width="14.28515625" style="110" customWidth="1"/>
    <col min="6662" max="6664" width="14" style="110" customWidth="1"/>
    <col min="6665" max="6665" width="14.7109375" style="110" customWidth="1"/>
    <col min="6666" max="6666" width="15.140625" style="110" customWidth="1"/>
    <col min="6667" max="6667" width="13.7109375" style="110" customWidth="1"/>
    <col min="6668" max="6668" width="11" style="110" customWidth="1"/>
    <col min="6669" max="6669" width="13.7109375" style="110" customWidth="1"/>
    <col min="6670" max="6914" width="9.140625" style="110"/>
    <col min="6915" max="6915" width="57.28515625" style="110" bestFit="1" customWidth="1"/>
    <col min="6916" max="6916" width="14.140625" style="110" bestFit="1" customWidth="1"/>
    <col min="6917" max="6917" width="14.28515625" style="110" customWidth="1"/>
    <col min="6918" max="6920" width="14" style="110" customWidth="1"/>
    <col min="6921" max="6921" width="14.7109375" style="110" customWidth="1"/>
    <col min="6922" max="6922" width="15.140625" style="110" customWidth="1"/>
    <col min="6923" max="6923" width="13.7109375" style="110" customWidth="1"/>
    <col min="6924" max="6924" width="11" style="110" customWidth="1"/>
    <col min="6925" max="6925" width="13.7109375" style="110" customWidth="1"/>
    <col min="6926" max="7170" width="9.140625" style="110"/>
    <col min="7171" max="7171" width="57.28515625" style="110" bestFit="1" customWidth="1"/>
    <col min="7172" max="7172" width="14.140625" style="110" bestFit="1" customWidth="1"/>
    <col min="7173" max="7173" width="14.28515625" style="110" customWidth="1"/>
    <col min="7174" max="7176" width="14" style="110" customWidth="1"/>
    <col min="7177" max="7177" width="14.7109375" style="110" customWidth="1"/>
    <col min="7178" max="7178" width="15.140625" style="110" customWidth="1"/>
    <col min="7179" max="7179" width="13.7109375" style="110" customWidth="1"/>
    <col min="7180" max="7180" width="11" style="110" customWidth="1"/>
    <col min="7181" max="7181" width="13.7109375" style="110" customWidth="1"/>
    <col min="7182" max="7426" width="9.140625" style="110"/>
    <col min="7427" max="7427" width="57.28515625" style="110" bestFit="1" customWidth="1"/>
    <col min="7428" max="7428" width="14.140625" style="110" bestFit="1" customWidth="1"/>
    <col min="7429" max="7429" width="14.28515625" style="110" customWidth="1"/>
    <col min="7430" max="7432" width="14" style="110" customWidth="1"/>
    <col min="7433" max="7433" width="14.7109375" style="110" customWidth="1"/>
    <col min="7434" max="7434" width="15.140625" style="110" customWidth="1"/>
    <col min="7435" max="7435" width="13.7109375" style="110" customWidth="1"/>
    <col min="7436" max="7436" width="11" style="110" customWidth="1"/>
    <col min="7437" max="7437" width="13.7109375" style="110" customWidth="1"/>
    <col min="7438" max="7682" width="9.140625" style="110"/>
    <col min="7683" max="7683" width="57.28515625" style="110" bestFit="1" customWidth="1"/>
    <col min="7684" max="7684" width="14.140625" style="110" bestFit="1" customWidth="1"/>
    <col min="7685" max="7685" width="14.28515625" style="110" customWidth="1"/>
    <col min="7686" max="7688" width="14" style="110" customWidth="1"/>
    <col min="7689" max="7689" width="14.7109375" style="110" customWidth="1"/>
    <col min="7690" max="7690" width="15.140625" style="110" customWidth="1"/>
    <col min="7691" max="7691" width="13.7109375" style="110" customWidth="1"/>
    <col min="7692" max="7692" width="11" style="110" customWidth="1"/>
    <col min="7693" max="7693" width="13.7109375" style="110" customWidth="1"/>
    <col min="7694" max="7938" width="9.140625" style="110"/>
    <col min="7939" max="7939" width="57.28515625" style="110" bestFit="1" customWidth="1"/>
    <col min="7940" max="7940" width="14.140625" style="110" bestFit="1" customWidth="1"/>
    <col min="7941" max="7941" width="14.28515625" style="110" customWidth="1"/>
    <col min="7942" max="7944" width="14" style="110" customWidth="1"/>
    <col min="7945" max="7945" width="14.7109375" style="110" customWidth="1"/>
    <col min="7946" max="7946" width="15.140625" style="110" customWidth="1"/>
    <col min="7947" max="7947" width="13.7109375" style="110" customWidth="1"/>
    <col min="7948" max="7948" width="11" style="110" customWidth="1"/>
    <col min="7949" max="7949" width="13.7109375" style="110" customWidth="1"/>
    <col min="7950" max="8194" width="9.140625" style="110"/>
    <col min="8195" max="8195" width="57.28515625" style="110" bestFit="1" customWidth="1"/>
    <col min="8196" max="8196" width="14.140625" style="110" bestFit="1" customWidth="1"/>
    <col min="8197" max="8197" width="14.28515625" style="110" customWidth="1"/>
    <col min="8198" max="8200" width="14" style="110" customWidth="1"/>
    <col min="8201" max="8201" width="14.7109375" style="110" customWidth="1"/>
    <col min="8202" max="8202" width="15.140625" style="110" customWidth="1"/>
    <col min="8203" max="8203" width="13.7109375" style="110" customWidth="1"/>
    <col min="8204" max="8204" width="11" style="110" customWidth="1"/>
    <col min="8205" max="8205" width="13.7109375" style="110" customWidth="1"/>
    <col min="8206" max="8450" width="9.140625" style="110"/>
    <col min="8451" max="8451" width="57.28515625" style="110" bestFit="1" customWidth="1"/>
    <col min="8452" max="8452" width="14.140625" style="110" bestFit="1" customWidth="1"/>
    <col min="8453" max="8453" width="14.28515625" style="110" customWidth="1"/>
    <col min="8454" max="8456" width="14" style="110" customWidth="1"/>
    <col min="8457" max="8457" width="14.7109375" style="110" customWidth="1"/>
    <col min="8458" max="8458" width="15.140625" style="110" customWidth="1"/>
    <col min="8459" max="8459" width="13.7109375" style="110" customWidth="1"/>
    <col min="8460" max="8460" width="11" style="110" customWidth="1"/>
    <col min="8461" max="8461" width="13.7109375" style="110" customWidth="1"/>
    <col min="8462" max="8706" width="9.140625" style="110"/>
    <col min="8707" max="8707" width="57.28515625" style="110" bestFit="1" customWidth="1"/>
    <col min="8708" max="8708" width="14.140625" style="110" bestFit="1" customWidth="1"/>
    <col min="8709" max="8709" width="14.28515625" style="110" customWidth="1"/>
    <col min="8710" max="8712" width="14" style="110" customWidth="1"/>
    <col min="8713" max="8713" width="14.7109375" style="110" customWidth="1"/>
    <col min="8714" max="8714" width="15.140625" style="110" customWidth="1"/>
    <col min="8715" max="8715" width="13.7109375" style="110" customWidth="1"/>
    <col min="8716" max="8716" width="11" style="110" customWidth="1"/>
    <col min="8717" max="8717" width="13.7109375" style="110" customWidth="1"/>
    <col min="8718" max="8962" width="9.140625" style="110"/>
    <col min="8963" max="8963" width="57.28515625" style="110" bestFit="1" customWidth="1"/>
    <col min="8964" max="8964" width="14.140625" style="110" bestFit="1" customWidth="1"/>
    <col min="8965" max="8965" width="14.28515625" style="110" customWidth="1"/>
    <col min="8966" max="8968" width="14" style="110" customWidth="1"/>
    <col min="8969" max="8969" width="14.7109375" style="110" customWidth="1"/>
    <col min="8970" max="8970" width="15.140625" style="110" customWidth="1"/>
    <col min="8971" max="8971" width="13.7109375" style="110" customWidth="1"/>
    <col min="8972" max="8972" width="11" style="110" customWidth="1"/>
    <col min="8973" max="8973" width="13.7109375" style="110" customWidth="1"/>
    <col min="8974" max="9218" width="9.140625" style="110"/>
    <col min="9219" max="9219" width="57.28515625" style="110" bestFit="1" customWidth="1"/>
    <col min="9220" max="9220" width="14.140625" style="110" bestFit="1" customWidth="1"/>
    <col min="9221" max="9221" width="14.28515625" style="110" customWidth="1"/>
    <col min="9222" max="9224" width="14" style="110" customWidth="1"/>
    <col min="9225" max="9225" width="14.7109375" style="110" customWidth="1"/>
    <col min="9226" max="9226" width="15.140625" style="110" customWidth="1"/>
    <col min="9227" max="9227" width="13.7109375" style="110" customWidth="1"/>
    <col min="9228" max="9228" width="11" style="110" customWidth="1"/>
    <col min="9229" max="9229" width="13.7109375" style="110" customWidth="1"/>
    <col min="9230" max="9474" width="9.140625" style="110"/>
    <col min="9475" max="9475" width="57.28515625" style="110" bestFit="1" customWidth="1"/>
    <col min="9476" max="9476" width="14.140625" style="110" bestFit="1" customWidth="1"/>
    <col min="9477" max="9477" width="14.28515625" style="110" customWidth="1"/>
    <col min="9478" max="9480" width="14" style="110" customWidth="1"/>
    <col min="9481" max="9481" width="14.7109375" style="110" customWidth="1"/>
    <col min="9482" max="9482" width="15.140625" style="110" customWidth="1"/>
    <col min="9483" max="9483" width="13.7109375" style="110" customWidth="1"/>
    <col min="9484" max="9484" width="11" style="110" customWidth="1"/>
    <col min="9485" max="9485" width="13.7109375" style="110" customWidth="1"/>
    <col min="9486" max="9730" width="9.140625" style="110"/>
    <col min="9731" max="9731" width="57.28515625" style="110" bestFit="1" customWidth="1"/>
    <col min="9732" max="9732" width="14.140625" style="110" bestFit="1" customWidth="1"/>
    <col min="9733" max="9733" width="14.28515625" style="110" customWidth="1"/>
    <col min="9734" max="9736" width="14" style="110" customWidth="1"/>
    <col min="9737" max="9737" width="14.7109375" style="110" customWidth="1"/>
    <col min="9738" max="9738" width="15.140625" style="110" customWidth="1"/>
    <col min="9739" max="9739" width="13.7109375" style="110" customWidth="1"/>
    <col min="9740" max="9740" width="11" style="110" customWidth="1"/>
    <col min="9741" max="9741" width="13.7109375" style="110" customWidth="1"/>
    <col min="9742" max="9986" width="9.140625" style="110"/>
    <col min="9987" max="9987" width="57.28515625" style="110" bestFit="1" customWidth="1"/>
    <col min="9988" max="9988" width="14.140625" style="110" bestFit="1" customWidth="1"/>
    <col min="9989" max="9989" width="14.28515625" style="110" customWidth="1"/>
    <col min="9990" max="9992" width="14" style="110" customWidth="1"/>
    <col min="9993" max="9993" width="14.7109375" style="110" customWidth="1"/>
    <col min="9994" max="9994" width="15.140625" style="110" customWidth="1"/>
    <col min="9995" max="9995" width="13.7109375" style="110" customWidth="1"/>
    <col min="9996" max="9996" width="11" style="110" customWidth="1"/>
    <col min="9997" max="9997" width="13.7109375" style="110" customWidth="1"/>
    <col min="9998" max="10242" width="9.140625" style="110"/>
    <col min="10243" max="10243" width="57.28515625" style="110" bestFit="1" customWidth="1"/>
    <col min="10244" max="10244" width="14.140625" style="110" bestFit="1" customWidth="1"/>
    <col min="10245" max="10245" width="14.28515625" style="110" customWidth="1"/>
    <col min="10246" max="10248" width="14" style="110" customWidth="1"/>
    <col min="10249" max="10249" width="14.7109375" style="110" customWidth="1"/>
    <col min="10250" max="10250" width="15.140625" style="110" customWidth="1"/>
    <col min="10251" max="10251" width="13.7109375" style="110" customWidth="1"/>
    <col min="10252" max="10252" width="11" style="110" customWidth="1"/>
    <col min="10253" max="10253" width="13.7109375" style="110" customWidth="1"/>
    <col min="10254" max="10498" width="9.140625" style="110"/>
    <col min="10499" max="10499" width="57.28515625" style="110" bestFit="1" customWidth="1"/>
    <col min="10500" max="10500" width="14.140625" style="110" bestFit="1" customWidth="1"/>
    <col min="10501" max="10501" width="14.28515625" style="110" customWidth="1"/>
    <col min="10502" max="10504" width="14" style="110" customWidth="1"/>
    <col min="10505" max="10505" width="14.7109375" style="110" customWidth="1"/>
    <col min="10506" max="10506" width="15.140625" style="110" customWidth="1"/>
    <col min="10507" max="10507" width="13.7109375" style="110" customWidth="1"/>
    <col min="10508" max="10508" width="11" style="110" customWidth="1"/>
    <col min="10509" max="10509" width="13.7109375" style="110" customWidth="1"/>
    <col min="10510" max="10754" width="9.140625" style="110"/>
    <col min="10755" max="10755" width="57.28515625" style="110" bestFit="1" customWidth="1"/>
    <col min="10756" max="10756" width="14.140625" style="110" bestFit="1" customWidth="1"/>
    <col min="10757" max="10757" width="14.28515625" style="110" customWidth="1"/>
    <col min="10758" max="10760" width="14" style="110" customWidth="1"/>
    <col min="10761" max="10761" width="14.7109375" style="110" customWidth="1"/>
    <col min="10762" max="10762" width="15.140625" style="110" customWidth="1"/>
    <col min="10763" max="10763" width="13.7109375" style="110" customWidth="1"/>
    <col min="10764" max="10764" width="11" style="110" customWidth="1"/>
    <col min="10765" max="10765" width="13.7109375" style="110" customWidth="1"/>
    <col min="10766" max="11010" width="9.140625" style="110"/>
    <col min="11011" max="11011" width="57.28515625" style="110" bestFit="1" customWidth="1"/>
    <col min="11012" max="11012" width="14.140625" style="110" bestFit="1" customWidth="1"/>
    <col min="11013" max="11013" width="14.28515625" style="110" customWidth="1"/>
    <col min="11014" max="11016" width="14" style="110" customWidth="1"/>
    <col min="11017" max="11017" width="14.7109375" style="110" customWidth="1"/>
    <col min="11018" max="11018" width="15.140625" style="110" customWidth="1"/>
    <col min="11019" max="11019" width="13.7109375" style="110" customWidth="1"/>
    <col min="11020" max="11020" width="11" style="110" customWidth="1"/>
    <col min="11021" max="11021" width="13.7109375" style="110" customWidth="1"/>
    <col min="11022" max="11266" width="9.140625" style="110"/>
    <col min="11267" max="11267" width="57.28515625" style="110" bestFit="1" customWidth="1"/>
    <col min="11268" max="11268" width="14.140625" style="110" bestFit="1" customWidth="1"/>
    <col min="11269" max="11269" width="14.28515625" style="110" customWidth="1"/>
    <col min="11270" max="11272" width="14" style="110" customWidth="1"/>
    <col min="11273" max="11273" width="14.7109375" style="110" customWidth="1"/>
    <col min="11274" max="11274" width="15.140625" style="110" customWidth="1"/>
    <col min="11275" max="11275" width="13.7109375" style="110" customWidth="1"/>
    <col min="11276" max="11276" width="11" style="110" customWidth="1"/>
    <col min="11277" max="11277" width="13.7109375" style="110" customWidth="1"/>
    <col min="11278" max="11522" width="9.140625" style="110"/>
    <col min="11523" max="11523" width="57.28515625" style="110" bestFit="1" customWidth="1"/>
    <col min="11524" max="11524" width="14.140625" style="110" bestFit="1" customWidth="1"/>
    <col min="11525" max="11525" width="14.28515625" style="110" customWidth="1"/>
    <col min="11526" max="11528" width="14" style="110" customWidth="1"/>
    <col min="11529" max="11529" width="14.7109375" style="110" customWidth="1"/>
    <col min="11530" max="11530" width="15.140625" style="110" customWidth="1"/>
    <col min="11531" max="11531" width="13.7109375" style="110" customWidth="1"/>
    <col min="11532" max="11532" width="11" style="110" customWidth="1"/>
    <col min="11533" max="11533" width="13.7109375" style="110" customWidth="1"/>
    <col min="11534" max="11778" width="9.140625" style="110"/>
    <col min="11779" max="11779" width="57.28515625" style="110" bestFit="1" customWidth="1"/>
    <col min="11780" max="11780" width="14.140625" style="110" bestFit="1" customWidth="1"/>
    <col min="11781" max="11781" width="14.28515625" style="110" customWidth="1"/>
    <col min="11782" max="11784" width="14" style="110" customWidth="1"/>
    <col min="11785" max="11785" width="14.7109375" style="110" customWidth="1"/>
    <col min="11786" max="11786" width="15.140625" style="110" customWidth="1"/>
    <col min="11787" max="11787" width="13.7109375" style="110" customWidth="1"/>
    <col min="11788" max="11788" width="11" style="110" customWidth="1"/>
    <col min="11789" max="11789" width="13.7109375" style="110" customWidth="1"/>
    <col min="11790" max="12034" width="9.140625" style="110"/>
    <col min="12035" max="12035" width="57.28515625" style="110" bestFit="1" customWidth="1"/>
    <col min="12036" max="12036" width="14.140625" style="110" bestFit="1" customWidth="1"/>
    <col min="12037" max="12037" width="14.28515625" style="110" customWidth="1"/>
    <col min="12038" max="12040" width="14" style="110" customWidth="1"/>
    <col min="12041" max="12041" width="14.7109375" style="110" customWidth="1"/>
    <col min="12042" max="12042" width="15.140625" style="110" customWidth="1"/>
    <col min="12043" max="12043" width="13.7109375" style="110" customWidth="1"/>
    <col min="12044" max="12044" width="11" style="110" customWidth="1"/>
    <col min="12045" max="12045" width="13.7109375" style="110" customWidth="1"/>
    <col min="12046" max="12290" width="9.140625" style="110"/>
    <col min="12291" max="12291" width="57.28515625" style="110" bestFit="1" customWidth="1"/>
    <col min="12292" max="12292" width="14.140625" style="110" bestFit="1" customWidth="1"/>
    <col min="12293" max="12293" width="14.28515625" style="110" customWidth="1"/>
    <col min="12294" max="12296" width="14" style="110" customWidth="1"/>
    <col min="12297" max="12297" width="14.7109375" style="110" customWidth="1"/>
    <col min="12298" max="12298" width="15.140625" style="110" customWidth="1"/>
    <col min="12299" max="12299" width="13.7109375" style="110" customWidth="1"/>
    <col min="12300" max="12300" width="11" style="110" customWidth="1"/>
    <col min="12301" max="12301" width="13.7109375" style="110" customWidth="1"/>
    <col min="12302" max="12546" width="9.140625" style="110"/>
    <col min="12547" max="12547" width="57.28515625" style="110" bestFit="1" customWidth="1"/>
    <col min="12548" max="12548" width="14.140625" style="110" bestFit="1" customWidth="1"/>
    <col min="12549" max="12549" width="14.28515625" style="110" customWidth="1"/>
    <col min="12550" max="12552" width="14" style="110" customWidth="1"/>
    <col min="12553" max="12553" width="14.7109375" style="110" customWidth="1"/>
    <col min="12554" max="12554" width="15.140625" style="110" customWidth="1"/>
    <col min="12555" max="12555" width="13.7109375" style="110" customWidth="1"/>
    <col min="12556" max="12556" width="11" style="110" customWidth="1"/>
    <col min="12557" max="12557" width="13.7109375" style="110" customWidth="1"/>
    <col min="12558" max="12802" width="9.140625" style="110"/>
    <col min="12803" max="12803" width="57.28515625" style="110" bestFit="1" customWidth="1"/>
    <col min="12804" max="12804" width="14.140625" style="110" bestFit="1" customWidth="1"/>
    <col min="12805" max="12805" width="14.28515625" style="110" customWidth="1"/>
    <col min="12806" max="12808" width="14" style="110" customWidth="1"/>
    <col min="12809" max="12809" width="14.7109375" style="110" customWidth="1"/>
    <col min="12810" max="12810" width="15.140625" style="110" customWidth="1"/>
    <col min="12811" max="12811" width="13.7109375" style="110" customWidth="1"/>
    <col min="12812" max="12812" width="11" style="110" customWidth="1"/>
    <col min="12813" max="12813" width="13.7109375" style="110" customWidth="1"/>
    <col min="12814" max="13058" width="9.140625" style="110"/>
    <col min="13059" max="13059" width="57.28515625" style="110" bestFit="1" customWidth="1"/>
    <col min="13060" max="13060" width="14.140625" style="110" bestFit="1" customWidth="1"/>
    <col min="13061" max="13061" width="14.28515625" style="110" customWidth="1"/>
    <col min="13062" max="13064" width="14" style="110" customWidth="1"/>
    <col min="13065" max="13065" width="14.7109375" style="110" customWidth="1"/>
    <col min="13066" max="13066" width="15.140625" style="110" customWidth="1"/>
    <col min="13067" max="13067" width="13.7109375" style="110" customWidth="1"/>
    <col min="13068" max="13068" width="11" style="110" customWidth="1"/>
    <col min="13069" max="13069" width="13.7109375" style="110" customWidth="1"/>
    <col min="13070" max="13314" width="9.140625" style="110"/>
    <col min="13315" max="13315" width="57.28515625" style="110" bestFit="1" customWidth="1"/>
    <col min="13316" max="13316" width="14.140625" style="110" bestFit="1" customWidth="1"/>
    <col min="13317" max="13317" width="14.28515625" style="110" customWidth="1"/>
    <col min="13318" max="13320" width="14" style="110" customWidth="1"/>
    <col min="13321" max="13321" width="14.7109375" style="110" customWidth="1"/>
    <col min="13322" max="13322" width="15.140625" style="110" customWidth="1"/>
    <col min="13323" max="13323" width="13.7109375" style="110" customWidth="1"/>
    <col min="13324" max="13324" width="11" style="110" customWidth="1"/>
    <col min="13325" max="13325" width="13.7109375" style="110" customWidth="1"/>
    <col min="13326" max="13570" width="9.140625" style="110"/>
    <col min="13571" max="13571" width="57.28515625" style="110" bestFit="1" customWidth="1"/>
    <col min="13572" max="13572" width="14.140625" style="110" bestFit="1" customWidth="1"/>
    <col min="13573" max="13573" width="14.28515625" style="110" customWidth="1"/>
    <col min="13574" max="13576" width="14" style="110" customWidth="1"/>
    <col min="13577" max="13577" width="14.7109375" style="110" customWidth="1"/>
    <col min="13578" max="13578" width="15.140625" style="110" customWidth="1"/>
    <col min="13579" max="13579" width="13.7109375" style="110" customWidth="1"/>
    <col min="13580" max="13580" width="11" style="110" customWidth="1"/>
    <col min="13581" max="13581" width="13.7109375" style="110" customWidth="1"/>
    <col min="13582" max="13826" width="9.140625" style="110"/>
    <col min="13827" max="13827" width="57.28515625" style="110" bestFit="1" customWidth="1"/>
    <col min="13828" max="13828" width="14.140625" style="110" bestFit="1" customWidth="1"/>
    <col min="13829" max="13829" width="14.28515625" style="110" customWidth="1"/>
    <col min="13830" max="13832" width="14" style="110" customWidth="1"/>
    <col min="13833" max="13833" width="14.7109375" style="110" customWidth="1"/>
    <col min="13834" max="13834" width="15.140625" style="110" customWidth="1"/>
    <col min="13835" max="13835" width="13.7109375" style="110" customWidth="1"/>
    <col min="13836" max="13836" width="11" style="110" customWidth="1"/>
    <col min="13837" max="13837" width="13.7109375" style="110" customWidth="1"/>
    <col min="13838" max="14082" width="9.140625" style="110"/>
    <col min="14083" max="14083" width="57.28515625" style="110" bestFit="1" customWidth="1"/>
    <col min="14084" max="14084" width="14.140625" style="110" bestFit="1" customWidth="1"/>
    <col min="14085" max="14085" width="14.28515625" style="110" customWidth="1"/>
    <col min="14086" max="14088" width="14" style="110" customWidth="1"/>
    <col min="14089" max="14089" width="14.7109375" style="110" customWidth="1"/>
    <col min="14090" max="14090" width="15.140625" style="110" customWidth="1"/>
    <col min="14091" max="14091" width="13.7109375" style="110" customWidth="1"/>
    <col min="14092" max="14092" width="11" style="110" customWidth="1"/>
    <col min="14093" max="14093" width="13.7109375" style="110" customWidth="1"/>
    <col min="14094" max="14338" width="9.140625" style="110"/>
    <col min="14339" max="14339" width="57.28515625" style="110" bestFit="1" customWidth="1"/>
    <col min="14340" max="14340" width="14.140625" style="110" bestFit="1" customWidth="1"/>
    <col min="14341" max="14341" width="14.28515625" style="110" customWidth="1"/>
    <col min="14342" max="14344" width="14" style="110" customWidth="1"/>
    <col min="14345" max="14345" width="14.7109375" style="110" customWidth="1"/>
    <col min="14346" max="14346" width="15.140625" style="110" customWidth="1"/>
    <col min="14347" max="14347" width="13.7109375" style="110" customWidth="1"/>
    <col min="14348" max="14348" width="11" style="110" customWidth="1"/>
    <col min="14349" max="14349" width="13.7109375" style="110" customWidth="1"/>
    <col min="14350" max="14594" width="9.140625" style="110"/>
    <col min="14595" max="14595" width="57.28515625" style="110" bestFit="1" customWidth="1"/>
    <col min="14596" max="14596" width="14.140625" style="110" bestFit="1" customWidth="1"/>
    <col min="14597" max="14597" width="14.28515625" style="110" customWidth="1"/>
    <col min="14598" max="14600" width="14" style="110" customWidth="1"/>
    <col min="14601" max="14601" width="14.7109375" style="110" customWidth="1"/>
    <col min="14602" max="14602" width="15.140625" style="110" customWidth="1"/>
    <col min="14603" max="14603" width="13.7109375" style="110" customWidth="1"/>
    <col min="14604" max="14604" width="11" style="110" customWidth="1"/>
    <col min="14605" max="14605" width="13.7109375" style="110" customWidth="1"/>
    <col min="14606" max="14850" width="9.140625" style="110"/>
    <col min="14851" max="14851" width="57.28515625" style="110" bestFit="1" customWidth="1"/>
    <col min="14852" max="14852" width="14.140625" style="110" bestFit="1" customWidth="1"/>
    <col min="14853" max="14853" width="14.28515625" style="110" customWidth="1"/>
    <col min="14854" max="14856" width="14" style="110" customWidth="1"/>
    <col min="14857" max="14857" width="14.7109375" style="110" customWidth="1"/>
    <col min="14858" max="14858" width="15.140625" style="110" customWidth="1"/>
    <col min="14859" max="14859" width="13.7109375" style="110" customWidth="1"/>
    <col min="14860" max="14860" width="11" style="110" customWidth="1"/>
    <col min="14861" max="14861" width="13.7109375" style="110" customWidth="1"/>
    <col min="14862" max="15106" width="9.140625" style="110"/>
    <col min="15107" max="15107" width="57.28515625" style="110" bestFit="1" customWidth="1"/>
    <col min="15108" max="15108" width="14.140625" style="110" bestFit="1" customWidth="1"/>
    <col min="15109" max="15109" width="14.28515625" style="110" customWidth="1"/>
    <col min="15110" max="15112" width="14" style="110" customWidth="1"/>
    <col min="15113" max="15113" width="14.7109375" style="110" customWidth="1"/>
    <col min="15114" max="15114" width="15.140625" style="110" customWidth="1"/>
    <col min="15115" max="15115" width="13.7109375" style="110" customWidth="1"/>
    <col min="15116" max="15116" width="11" style="110" customWidth="1"/>
    <col min="15117" max="15117" width="13.7109375" style="110" customWidth="1"/>
    <col min="15118" max="15362" width="9.140625" style="110"/>
    <col min="15363" max="15363" width="57.28515625" style="110" bestFit="1" customWidth="1"/>
    <col min="15364" max="15364" width="14.140625" style="110" bestFit="1" customWidth="1"/>
    <col min="15365" max="15365" width="14.28515625" style="110" customWidth="1"/>
    <col min="15366" max="15368" width="14" style="110" customWidth="1"/>
    <col min="15369" max="15369" width="14.7109375" style="110" customWidth="1"/>
    <col min="15370" max="15370" width="15.140625" style="110" customWidth="1"/>
    <col min="15371" max="15371" width="13.7109375" style="110" customWidth="1"/>
    <col min="15372" max="15372" width="11" style="110" customWidth="1"/>
    <col min="15373" max="15373" width="13.7109375" style="110" customWidth="1"/>
    <col min="15374" max="15618" width="9.140625" style="110"/>
    <col min="15619" max="15619" width="57.28515625" style="110" bestFit="1" customWidth="1"/>
    <col min="15620" max="15620" width="14.140625" style="110" bestFit="1" customWidth="1"/>
    <col min="15621" max="15621" width="14.28515625" style="110" customWidth="1"/>
    <col min="15622" max="15624" width="14" style="110" customWidth="1"/>
    <col min="15625" max="15625" width="14.7109375" style="110" customWidth="1"/>
    <col min="15626" max="15626" width="15.140625" style="110" customWidth="1"/>
    <col min="15627" max="15627" width="13.7109375" style="110" customWidth="1"/>
    <col min="15628" max="15628" width="11" style="110" customWidth="1"/>
    <col min="15629" max="15629" width="13.7109375" style="110" customWidth="1"/>
    <col min="15630" max="15874" width="9.140625" style="110"/>
    <col min="15875" max="15875" width="57.28515625" style="110" bestFit="1" customWidth="1"/>
    <col min="15876" max="15876" width="14.140625" style="110" bestFit="1" customWidth="1"/>
    <col min="15877" max="15877" width="14.28515625" style="110" customWidth="1"/>
    <col min="15878" max="15880" width="14" style="110" customWidth="1"/>
    <col min="15881" max="15881" width="14.7109375" style="110" customWidth="1"/>
    <col min="15882" max="15882" width="15.140625" style="110" customWidth="1"/>
    <col min="15883" max="15883" width="13.7109375" style="110" customWidth="1"/>
    <col min="15884" max="15884" width="11" style="110" customWidth="1"/>
    <col min="15885" max="15885" width="13.7109375" style="110" customWidth="1"/>
    <col min="15886" max="16130" width="9.140625" style="110"/>
    <col min="16131" max="16131" width="57.28515625" style="110" bestFit="1" customWidth="1"/>
    <col min="16132" max="16132" width="14.140625" style="110" bestFit="1" customWidth="1"/>
    <col min="16133" max="16133" width="14.28515625" style="110" customWidth="1"/>
    <col min="16134" max="16136" width="14" style="110" customWidth="1"/>
    <col min="16137" max="16137" width="14.7109375" style="110" customWidth="1"/>
    <col min="16138" max="16138" width="15.140625" style="110" customWidth="1"/>
    <col min="16139" max="16139" width="13.7109375" style="110" customWidth="1"/>
    <col min="16140" max="16140" width="11" style="110" customWidth="1"/>
    <col min="16141" max="16141" width="13.7109375" style="110" customWidth="1"/>
    <col min="16142" max="16384" width="9.140625" style="110"/>
  </cols>
  <sheetData>
    <row r="1" spans="1:21" ht="1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1" ht="1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1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1" ht="60" x14ac:dyDescent="0.2">
      <c r="A4" s="1"/>
      <c r="B4" s="1"/>
      <c r="C4" s="2"/>
      <c r="D4" s="151" t="s">
        <v>2</v>
      </c>
      <c r="E4" s="151" t="s">
        <v>1</v>
      </c>
      <c r="F4" s="151" t="s">
        <v>154</v>
      </c>
      <c r="G4" s="151" t="s">
        <v>158</v>
      </c>
      <c r="H4" s="151" t="s">
        <v>159</v>
      </c>
      <c r="I4" s="151" t="s">
        <v>148</v>
      </c>
      <c r="J4" s="151" t="s">
        <v>146</v>
      </c>
      <c r="K4" s="151" t="s">
        <v>160</v>
      </c>
      <c r="L4" s="151" t="s">
        <v>9</v>
      </c>
      <c r="M4" s="151" t="s">
        <v>161</v>
      </c>
      <c r="N4" s="1"/>
      <c r="O4" s="1"/>
      <c r="P4" s="1"/>
      <c r="Q4" s="1"/>
      <c r="R4" s="1"/>
    </row>
    <row r="5" spans="1:21" ht="15" x14ac:dyDescent="0.2">
      <c r="A5" s="1"/>
      <c r="B5" s="1"/>
      <c r="C5" s="1" t="s">
        <v>12</v>
      </c>
      <c r="D5" s="1"/>
      <c r="E5" s="4">
        <v>131328</v>
      </c>
      <c r="F5" s="4">
        <v>1560872</v>
      </c>
      <c r="G5" s="4">
        <v>38506</v>
      </c>
      <c r="H5" s="4">
        <v>188163</v>
      </c>
      <c r="I5" s="4">
        <v>857416</v>
      </c>
      <c r="J5" s="4">
        <v>0</v>
      </c>
      <c r="K5" s="4">
        <v>46683</v>
      </c>
      <c r="L5" s="4">
        <v>70776</v>
      </c>
      <c r="M5" s="4">
        <f>SUM(E5:L5)</f>
        <v>2893744</v>
      </c>
      <c r="N5" s="1"/>
      <c r="O5" s="1"/>
      <c r="P5" s="1"/>
      <c r="Q5" s="1"/>
      <c r="R5" s="1"/>
    </row>
    <row r="6" spans="1:21" ht="15" x14ac:dyDescent="0.2">
      <c r="A6" s="1"/>
      <c r="B6" s="1"/>
      <c r="C6" s="1" t="s">
        <v>13</v>
      </c>
      <c r="D6" s="4"/>
      <c r="E6" s="4">
        <f>+D38-D12</f>
        <v>570075.69299999997</v>
      </c>
      <c r="F6" s="4">
        <f>+E6</f>
        <v>570075.69299999997</v>
      </c>
      <c r="G6" s="4">
        <f>+D31</f>
        <v>4689.4719999999998</v>
      </c>
      <c r="H6" s="4">
        <f>+D18+D24+D19+D25</f>
        <v>436975.62</v>
      </c>
      <c r="I6" s="1">
        <f>+D18+D19+D24+D25+D31+D35</f>
        <v>442137.63699999999</v>
      </c>
      <c r="J6" s="4"/>
      <c r="K6" s="4">
        <f>+D17+D23+D30+D34+D11</f>
        <v>127938.05600000001</v>
      </c>
      <c r="L6" s="4">
        <f>+D17+D23+D11+D30+D34</f>
        <v>127938.05600000001</v>
      </c>
      <c r="M6" s="1"/>
      <c r="N6" s="1"/>
      <c r="O6" s="1"/>
      <c r="P6" s="1"/>
      <c r="Q6" s="1"/>
      <c r="R6" s="1"/>
    </row>
    <row r="7" spans="1:21" ht="15" x14ac:dyDescent="0.2">
      <c r="A7" s="1"/>
      <c r="B7" s="1"/>
      <c r="C7" s="1"/>
      <c r="D7" s="1"/>
      <c r="E7" s="4">
        <f>SUM(E10:E84)</f>
        <v>131328.00000000003</v>
      </c>
      <c r="F7" s="4">
        <f>SUM(F10:F84)</f>
        <v>1560872.0000000002</v>
      </c>
      <c r="G7" s="4">
        <f>SUM(G10:G84)</f>
        <v>38506</v>
      </c>
      <c r="H7" s="4">
        <f>SUM(H10:H84)</f>
        <v>188163.00000000003</v>
      </c>
      <c r="I7" s="4">
        <f>SUM(I10:I84)</f>
        <v>857416.00000000012</v>
      </c>
      <c r="J7" s="4"/>
      <c r="K7" s="4">
        <f>SUM(K10:K84)</f>
        <v>46683</v>
      </c>
      <c r="L7" s="4">
        <f>SUM(L10:L84)</f>
        <v>70776</v>
      </c>
      <c r="M7" s="4">
        <f>+M38</f>
        <v>2893744.0000000005</v>
      </c>
      <c r="N7" s="1"/>
      <c r="O7" s="1"/>
      <c r="P7" s="1"/>
      <c r="Q7" s="1"/>
      <c r="R7" s="1"/>
    </row>
    <row r="8" spans="1:21" ht="15" x14ac:dyDescent="0.2">
      <c r="A8" s="1"/>
      <c r="B8" s="1"/>
      <c r="C8" s="1"/>
      <c r="D8" s="1"/>
      <c r="E8" s="5" t="str">
        <f>IF(E7=E5, "Good","Error")</f>
        <v>Good</v>
      </c>
      <c r="F8" s="5" t="str">
        <f t="shared" ref="F8:M8" si="0">IF(F7=F5, "Good","Error")</f>
        <v>Good</v>
      </c>
      <c r="G8" s="5" t="str">
        <f t="shared" si="0"/>
        <v>Good</v>
      </c>
      <c r="H8" s="5" t="str">
        <f>IF(H7=H5, "Good","Error")</f>
        <v>Good</v>
      </c>
      <c r="I8" s="5" t="str">
        <f>IF(I7=I5, "Good","Error")</f>
        <v>Good</v>
      </c>
      <c r="J8" s="5" t="str">
        <f t="shared" si="0"/>
        <v>Good</v>
      </c>
      <c r="K8" s="5" t="str">
        <f t="shared" si="0"/>
        <v>Good</v>
      </c>
      <c r="L8" s="5" t="str">
        <f t="shared" si="0"/>
        <v>Good</v>
      </c>
      <c r="M8" s="5" t="str">
        <f t="shared" si="0"/>
        <v>Good</v>
      </c>
      <c r="N8" s="1"/>
      <c r="O8" s="1"/>
      <c r="P8" s="1"/>
      <c r="Q8" s="1"/>
      <c r="S8" s="1" t="s">
        <v>253</v>
      </c>
    </row>
    <row r="9" spans="1:21" ht="1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21" ht="15.75" x14ac:dyDescent="0.25">
      <c r="A10" s="1"/>
      <c r="B10" s="1"/>
      <c r="C10" s="1"/>
      <c r="D10" s="6"/>
      <c r="E10" s="1"/>
      <c r="F10" s="1"/>
      <c r="G10" s="1"/>
      <c r="H10" s="1"/>
      <c r="I10" s="1"/>
      <c r="J10" s="1"/>
      <c r="K10" s="1"/>
      <c r="L10" s="198"/>
      <c r="M10" s="1"/>
      <c r="N10" s="1"/>
      <c r="O10" s="1"/>
      <c r="P10" s="1"/>
      <c r="Q10" s="1"/>
      <c r="R10" s="1"/>
      <c r="S10" s="110" t="s">
        <v>254</v>
      </c>
      <c r="T10" s="110" t="s">
        <v>255</v>
      </c>
      <c r="U10" s="110" t="s">
        <v>256</v>
      </c>
    </row>
    <row r="11" spans="1:21" ht="15.75" x14ac:dyDescent="0.25">
      <c r="A11" s="1"/>
      <c r="B11" s="1"/>
      <c r="C11" s="108" t="s">
        <v>119</v>
      </c>
      <c r="D11" s="4">
        <f>+'[3]PRC RPW'!$G$68</f>
        <v>29554.3</v>
      </c>
      <c r="E11" s="4">
        <f>+$D11/E$6*E$5</f>
        <v>6808.4065994373141</v>
      </c>
      <c r="F11" s="4">
        <f>+$D11/F$6*F$5</f>
        <v>80919.919786160754</v>
      </c>
      <c r="G11" s="5" t="s">
        <v>150</v>
      </c>
      <c r="H11" s="5" t="s">
        <v>150</v>
      </c>
      <c r="I11" s="5" t="s">
        <v>150</v>
      </c>
      <c r="J11" s="4"/>
      <c r="K11" s="4">
        <f>+$D11/K$6*K$5</f>
        <v>10783.995239852635</v>
      </c>
      <c r="L11" s="4">
        <f>+$D11/L$6*L$5</f>
        <v>16349.592937382131</v>
      </c>
      <c r="M11" s="4">
        <f>SUM(E11:L11)</f>
        <v>114861.91456283283</v>
      </c>
      <c r="N11" s="1"/>
      <c r="O11" t="s">
        <v>232</v>
      </c>
      <c r="P11" s="1">
        <v>0</v>
      </c>
      <c r="Q11" s="1"/>
      <c r="R11" s="1"/>
    </row>
    <row r="12" spans="1:21" ht="15.75" x14ac:dyDescent="0.25">
      <c r="A12" s="1"/>
      <c r="B12" s="1"/>
      <c r="C12" s="111" t="s">
        <v>120</v>
      </c>
      <c r="D12" s="4">
        <f>+'[3]PRC RPW'!$G$69</f>
        <v>905.94899999999996</v>
      </c>
      <c r="E12" s="5" t="s">
        <v>150</v>
      </c>
      <c r="F12" s="5" t="s">
        <v>150</v>
      </c>
      <c r="G12" s="5" t="s">
        <v>150</v>
      </c>
      <c r="H12" s="5" t="s">
        <v>150</v>
      </c>
      <c r="I12" s="5" t="s">
        <v>150</v>
      </c>
      <c r="J12" s="5" t="s">
        <v>150</v>
      </c>
      <c r="K12" s="5" t="s">
        <v>150</v>
      </c>
      <c r="L12" s="5" t="s">
        <v>150</v>
      </c>
      <c r="M12" s="4">
        <v>0</v>
      </c>
      <c r="N12" s="1"/>
      <c r="O12" t="s">
        <v>233</v>
      </c>
      <c r="P12" s="4">
        <f>+M11/1000</f>
        <v>114.86191456283282</v>
      </c>
      <c r="Q12" s="1"/>
      <c r="R12" s="4">
        <f>+'MD Distribution CHIR Q7'!E126</f>
        <v>181652.96768389785</v>
      </c>
      <c r="S12" s="110">
        <f>+R12/$R$20</f>
        <v>7.2636004695188577E-2</v>
      </c>
      <c r="T12" s="288">
        <f>+S12*$R$26</f>
        <v>28537.03508677593</v>
      </c>
      <c r="U12" s="4">
        <v>210190.00277067377</v>
      </c>
    </row>
    <row r="13" spans="1:21" ht="15.75" x14ac:dyDescent="0.25">
      <c r="A13" s="1"/>
      <c r="B13" s="1"/>
      <c r="C13" s="111" t="s">
        <v>121</v>
      </c>
      <c r="D13" s="4">
        <f>+'[3]PRC RPW'!$G$70</f>
        <v>0.97099999999999997</v>
      </c>
      <c r="E13" s="4"/>
      <c r="F13" s="4"/>
      <c r="G13" s="4"/>
      <c r="H13" s="4"/>
      <c r="I13" s="4"/>
      <c r="J13" s="4"/>
      <c r="K13" s="4"/>
      <c r="L13" s="4"/>
      <c r="M13" s="4">
        <v>0</v>
      </c>
      <c r="N13" s="1"/>
      <c r="O13" t="s">
        <v>234</v>
      </c>
      <c r="P13" s="4">
        <f>+M21/1000</f>
        <v>1220.3990661651346</v>
      </c>
      <c r="Q13" s="1"/>
      <c r="R13" s="4">
        <f>+'MD Distribution CHIR Q7'!E127</f>
        <v>1125821.6392237118</v>
      </c>
      <c r="S13" s="110">
        <f t="shared" ref="S13:S15" si="1">+R13/$R$20</f>
        <v>0.4501725841049784</v>
      </c>
      <c r="T13" s="288">
        <f t="shared" ref="T13:T15" si="2">+S13*$R$26</f>
        <v>176862.57499456487</v>
      </c>
      <c r="U13" s="4">
        <v>1302684.2142182766</v>
      </c>
    </row>
    <row r="14" spans="1:21" ht="15.75" x14ac:dyDescent="0.25">
      <c r="A14" s="1"/>
      <c r="B14" s="1"/>
      <c r="C14" s="111"/>
      <c r="D14" s="4"/>
      <c r="E14" s="4"/>
      <c r="F14" s="4"/>
      <c r="G14" s="4"/>
      <c r="H14" s="4"/>
      <c r="I14" s="4"/>
      <c r="J14" s="4"/>
      <c r="K14" s="4"/>
      <c r="L14" s="4"/>
      <c r="M14" s="4"/>
      <c r="N14" s="1"/>
      <c r="O14" t="s">
        <v>235</v>
      </c>
      <c r="P14" s="4">
        <f>+M27/1000-Q22</f>
        <v>1535.78762201258</v>
      </c>
      <c r="Q14" s="1"/>
      <c r="R14" s="4">
        <f>+'MD Distribution CHIR Q7'!E128</f>
        <v>1074852.4876382891</v>
      </c>
      <c r="S14" s="110">
        <f t="shared" si="1"/>
        <v>0.42979198927588158</v>
      </c>
      <c r="T14" s="288">
        <f t="shared" si="2"/>
        <v>168855.50257685763</v>
      </c>
      <c r="U14" s="4">
        <v>1243707.9902151467</v>
      </c>
    </row>
    <row r="15" spans="1:21" ht="15.75" x14ac:dyDescent="0.25">
      <c r="A15" s="1"/>
      <c r="B15" s="1"/>
      <c r="C15" s="92" t="s">
        <v>123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1"/>
      <c r="O15" t="s">
        <v>236</v>
      </c>
      <c r="P15" s="4">
        <f>+M36/1000</f>
        <v>22.695397259452964</v>
      </c>
      <c r="Q15" s="1"/>
      <c r="R15" s="4">
        <f>+'MD Distribution CHIR Q7'!E129</f>
        <v>118539.63740323023</v>
      </c>
      <c r="S15" s="110">
        <f t="shared" si="1"/>
        <v>4.7399421923951392E-2</v>
      </c>
      <c r="T15" s="288">
        <f t="shared" si="2"/>
        <v>18622.155392672583</v>
      </c>
      <c r="U15" s="4">
        <v>137161.79279590282</v>
      </c>
    </row>
    <row r="16" spans="1:21" ht="15.75" x14ac:dyDescent="0.25">
      <c r="A16" s="1"/>
      <c r="B16" s="1"/>
      <c r="C16" s="92" t="s">
        <v>124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1"/>
      <c r="O16" s="1"/>
      <c r="P16" s="1"/>
      <c r="Q16" s="1"/>
      <c r="R16" s="4"/>
    </row>
    <row r="17" spans="1:21" ht="15" x14ac:dyDescent="0.2">
      <c r="A17" s="1"/>
      <c r="B17" s="1"/>
      <c r="C17" s="7" t="s">
        <v>125</v>
      </c>
      <c r="D17" s="221">
        <f>+'[3]Summary Category RPW Data'!$E$156/1000</f>
        <v>3663.2489999999998</v>
      </c>
      <c r="E17" s="4">
        <f t="shared" ref="E17:F19" si="3">+$D17/E$6*E$5</f>
        <v>843.90050405464308</v>
      </c>
      <c r="F17" s="4">
        <f t="shared" si="3"/>
        <v>10030.006301510561</v>
      </c>
      <c r="G17" s="5" t="s">
        <v>150</v>
      </c>
      <c r="H17" s="5" t="s">
        <v>150</v>
      </c>
      <c r="I17" s="5" t="s">
        <v>150</v>
      </c>
      <c r="J17" s="5" t="s">
        <v>150</v>
      </c>
      <c r="K17" s="4">
        <f>+$D17/K$6*K$5</f>
        <v>1336.6738436841651</v>
      </c>
      <c r="L17" s="4">
        <f>+$D17/L$6*L$5</f>
        <v>2026.5284570526846</v>
      </c>
      <c r="M17" s="4">
        <f>SUM(E17:L17)</f>
        <v>14237.109106302054</v>
      </c>
      <c r="N17" s="1"/>
      <c r="O17" s="44" t="s">
        <v>120</v>
      </c>
      <c r="P17" s="1"/>
      <c r="Q17" s="1"/>
      <c r="R17" s="4">
        <f>+'MD Distribution CHIR Q7'!E131</f>
        <v>0</v>
      </c>
    </row>
    <row r="18" spans="1:21" ht="15" x14ac:dyDescent="0.2">
      <c r="A18" s="1"/>
      <c r="B18" s="1"/>
      <c r="C18" s="7" t="s">
        <v>126</v>
      </c>
      <c r="D18" s="221">
        <f>+'[3]Summary Category RPW Data'!$E$158/1000+'[3]Summary Category RPW Data'!$E$161/1000+'[3]Summary Category RPW Data'!$E$159/1000</f>
        <v>126013.251</v>
      </c>
      <c r="E18" s="4">
        <f t="shared" si="3"/>
        <v>29029.59805256598</v>
      </c>
      <c r="F18" s="4">
        <f t="shared" si="3"/>
        <v>345025.3317761998</v>
      </c>
      <c r="G18" s="5" t="s">
        <v>150</v>
      </c>
      <c r="H18" s="4">
        <f>+$D18/H$6*H$5</f>
        <v>54261.680200632254</v>
      </c>
      <c r="I18" s="4">
        <f>+$D18/I$6*I$5</f>
        <v>244371.36442970586</v>
      </c>
      <c r="J18" s="5" t="s">
        <v>150</v>
      </c>
      <c r="K18" s="4"/>
      <c r="L18" s="4"/>
      <c r="M18" s="4">
        <f>SUM(E18:L18)</f>
        <v>672687.97445910389</v>
      </c>
      <c r="N18" s="1"/>
      <c r="O18" s="44" t="s">
        <v>121</v>
      </c>
      <c r="P18" s="1"/>
      <c r="Q18" s="1"/>
      <c r="R18" s="4">
        <f>+'MD Distribution CHIR Q7'!E132</f>
        <v>0</v>
      </c>
    </row>
    <row r="19" spans="1:21" ht="15" x14ac:dyDescent="0.2">
      <c r="A19" s="1"/>
      <c r="B19" s="1"/>
      <c r="C19" s="7" t="s">
        <v>127</v>
      </c>
      <c r="D19" s="221">
        <f>+'[3]Summary Category RPW Data'!$E$160/1000</f>
        <v>99934.581000000006</v>
      </c>
      <c r="E19" s="4">
        <f t="shared" si="3"/>
        <v>23021.870279194663</v>
      </c>
      <c r="F19" s="4">
        <f t="shared" si="3"/>
        <v>273621.71590542106</v>
      </c>
      <c r="G19" s="5" t="s">
        <v>150</v>
      </c>
      <c r="H19" s="4">
        <f>+$D19/H$6*H$5</f>
        <v>43032.127432425186</v>
      </c>
      <c r="I19" s="4">
        <f>+$D19/I$6*I$5</f>
        <v>193798.26898268788</v>
      </c>
      <c r="J19" s="5" t="s">
        <v>150</v>
      </c>
      <c r="K19" s="4"/>
      <c r="L19" s="4"/>
      <c r="M19" s="4">
        <f>SUM(E19:L19)</f>
        <v>533473.98259972874</v>
      </c>
      <c r="N19" s="1"/>
      <c r="O19" s="1"/>
      <c r="P19" s="1"/>
      <c r="Q19" s="1"/>
      <c r="R19" s="1"/>
    </row>
    <row r="20" spans="1:21" ht="15.75" x14ac:dyDescent="0.25">
      <c r="A20" s="1"/>
      <c r="B20" s="1"/>
      <c r="C20" s="13" t="s">
        <v>128</v>
      </c>
      <c r="D20" s="4">
        <f>SUM(D18:D19)</f>
        <v>225947.83199999999</v>
      </c>
      <c r="E20" s="4"/>
      <c r="F20" s="4"/>
      <c r="G20" s="4"/>
      <c r="H20" s="4"/>
      <c r="I20" s="4"/>
      <c r="J20" s="4"/>
      <c r="K20" s="4"/>
      <c r="L20" s="4"/>
      <c r="M20" s="4">
        <f>+M19+M18:M18</f>
        <v>1206161.9570588325</v>
      </c>
      <c r="N20" s="1"/>
      <c r="O20" s="1"/>
      <c r="P20" s="4">
        <f>+P17+P15+P14+P13+P12</f>
        <v>2893.7440000000001</v>
      </c>
      <c r="Q20" s="1"/>
      <c r="R20" s="4">
        <f>SUM(R12:R19)</f>
        <v>2500866.7319491291</v>
      </c>
      <c r="U20" s="289">
        <f>SUM(U12:U19)</f>
        <v>2893744</v>
      </c>
    </row>
    <row r="21" spans="1:21" ht="15.75" x14ac:dyDescent="0.25">
      <c r="A21" s="1"/>
      <c r="B21" s="1"/>
      <c r="C21" s="95" t="s">
        <v>129</v>
      </c>
      <c r="D21" s="4">
        <f>+D20+D17</f>
        <v>229611.08100000001</v>
      </c>
      <c r="E21" s="4"/>
      <c r="F21" s="4"/>
      <c r="G21" s="4"/>
      <c r="H21" s="4"/>
      <c r="I21" s="4"/>
      <c r="J21" s="4"/>
      <c r="K21" s="4"/>
      <c r="L21" s="4"/>
      <c r="M21" s="4">
        <f>+M20+M17</f>
        <v>1220399.0661651345</v>
      </c>
      <c r="N21" s="1"/>
      <c r="O21" s="1" t="s">
        <v>237</v>
      </c>
      <c r="P21" s="229">
        <f>+'[3]PRC RPW'!$B$74</f>
        <v>2893.7440000000001</v>
      </c>
      <c r="Q21" s="1"/>
      <c r="R21" s="1"/>
    </row>
    <row r="22" spans="1:21" ht="15.75" x14ac:dyDescent="0.25">
      <c r="A22" s="1"/>
      <c r="B22" s="1"/>
      <c r="C22" s="92" t="s">
        <v>130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1"/>
      <c r="P22" s="230">
        <f>+P20-P21</f>
        <v>0</v>
      </c>
      <c r="Q22" s="249">
        <v>-388.44602081494622</v>
      </c>
      <c r="R22" s="1"/>
    </row>
    <row r="23" spans="1:21" ht="15" x14ac:dyDescent="0.2">
      <c r="A23" s="1"/>
      <c r="B23" s="1"/>
      <c r="C23" s="7" t="s">
        <v>125</v>
      </c>
      <c r="D23" s="221">
        <f>+'[3]Summary Category RPW Data'!$E$162/1000</f>
        <v>5358.6670000000004</v>
      </c>
      <c r="E23" s="4">
        <f t="shared" ref="E23:F25" si="4">+$D23/E$6*E$5</f>
        <v>1234.4729452900915</v>
      </c>
      <c r="F23" s="4">
        <f t="shared" si="4"/>
        <v>14672.074919749299</v>
      </c>
      <c r="G23" s="5" t="s">
        <v>150</v>
      </c>
      <c r="H23" s="5" t="s">
        <v>150</v>
      </c>
      <c r="I23" s="5" t="s">
        <v>150</v>
      </c>
      <c r="J23" s="5" t="s">
        <v>150</v>
      </c>
      <c r="K23" s="4">
        <f>+$D23/K$6*K$5</f>
        <v>1955.3107134987263</v>
      </c>
      <c r="L23" s="4">
        <f>+$D23/L$6*L$5</f>
        <v>2964.4425392238259</v>
      </c>
      <c r="M23" s="4">
        <f>SUM(E23:L23)</f>
        <v>20826.301117761945</v>
      </c>
      <c r="N23" s="1"/>
      <c r="O23" s="1"/>
      <c r="P23" s="1"/>
      <c r="Q23" s="1"/>
      <c r="R23" s="1"/>
    </row>
    <row r="24" spans="1:21" ht="15" x14ac:dyDescent="0.2">
      <c r="A24" s="1"/>
      <c r="B24" s="1"/>
      <c r="C24" s="7" t="s">
        <v>126</v>
      </c>
      <c r="D24" s="221">
        <f>+'[3]Summary Category RPW Data'!$E$163/1000+'[3]Summary Category RPW Data'!$E$165/1000</f>
        <v>195582.35699999999</v>
      </c>
      <c r="E24" s="4">
        <f t="shared" si="4"/>
        <v>45056.19182766314</v>
      </c>
      <c r="F24" s="4">
        <f t="shared" si="4"/>
        <v>535506.12398291472</v>
      </c>
      <c r="G24" s="5" t="s">
        <v>150</v>
      </c>
      <c r="H24" s="4">
        <f>+$D24/H$6*H$5</f>
        <v>84218.343897975356</v>
      </c>
      <c r="I24" s="4">
        <f>+$D24/I$6*I$5</f>
        <v>379283.34567344695</v>
      </c>
      <c r="J24" s="5" t="s">
        <v>150</v>
      </c>
      <c r="K24" s="4"/>
      <c r="L24" s="4"/>
      <c r="M24" s="4">
        <f>SUM(E24:L24)</f>
        <v>1044064.0053820002</v>
      </c>
      <c r="N24" s="1"/>
      <c r="O24" s="1" t="s">
        <v>212</v>
      </c>
      <c r="P24" s="1"/>
      <c r="Q24" s="1"/>
      <c r="R24" s="229">
        <f>+'[3]PRC RPW'!$B$74</f>
        <v>2893.7440000000001</v>
      </c>
      <c r="U24" s="290">
        <f>+R24</f>
        <v>2893.7440000000001</v>
      </c>
    </row>
    <row r="25" spans="1:21" ht="15" x14ac:dyDescent="0.2">
      <c r="A25" s="1"/>
      <c r="B25" s="1"/>
      <c r="C25" s="7" t="s">
        <v>127</v>
      </c>
      <c r="D25" s="221">
        <f>+'[3]Summary Category RPW Data'!$E$164/1000</f>
        <v>15445.431</v>
      </c>
      <c r="E25" s="4">
        <f t="shared" si="4"/>
        <v>3558.1547981699337</v>
      </c>
      <c r="F25" s="4">
        <f t="shared" si="4"/>
        <v>42289.71884235731</v>
      </c>
      <c r="G25" s="5" t="s">
        <v>150</v>
      </c>
      <c r="H25" s="4">
        <f>+$D25/H$6*H$5</f>
        <v>6650.8484689672159</v>
      </c>
      <c r="I25" s="4">
        <f>+$D25/I$6*I$5</f>
        <v>29952.572588377046</v>
      </c>
      <c r="J25" s="5" t="s">
        <v>150</v>
      </c>
      <c r="K25" s="4"/>
      <c r="L25" s="4"/>
      <c r="M25" s="4">
        <f>SUM(E25:L25)</f>
        <v>82451.294697871504</v>
      </c>
      <c r="N25" s="1"/>
      <c r="O25" s="1" t="s">
        <v>240</v>
      </c>
      <c r="P25" s="1"/>
      <c r="Q25" s="1"/>
      <c r="R25" s="230">
        <f>+R20/1000-R24</f>
        <v>-392.87726805087095</v>
      </c>
      <c r="U25" s="290">
        <f>+U20-U24*1000</f>
        <v>0</v>
      </c>
    </row>
    <row r="26" spans="1:21" ht="15.75" x14ac:dyDescent="0.25">
      <c r="A26" s="1"/>
      <c r="B26" s="1"/>
      <c r="C26" s="13" t="s">
        <v>195</v>
      </c>
      <c r="D26" s="4">
        <f>SUM(D24:D25)</f>
        <v>211027.788</v>
      </c>
      <c r="E26" s="4"/>
      <c r="F26" s="4"/>
      <c r="G26" s="5"/>
      <c r="H26" s="4"/>
      <c r="I26" s="4"/>
      <c r="J26" s="5"/>
      <c r="K26" s="4"/>
      <c r="L26" s="4"/>
      <c r="M26" s="4">
        <f>+M25+M24:M24</f>
        <v>1126515.3000798717</v>
      </c>
      <c r="N26" s="1"/>
      <c r="O26" s="1"/>
      <c r="P26" s="1"/>
      <c r="Q26" s="1"/>
      <c r="R26" s="230">
        <f>392.877268050871*1000</f>
        <v>392877.26805087103</v>
      </c>
    </row>
    <row r="27" spans="1:21" ht="15.75" x14ac:dyDescent="0.25">
      <c r="A27" s="1"/>
      <c r="B27" s="1"/>
      <c r="C27" s="95" t="s">
        <v>131</v>
      </c>
      <c r="D27" s="4">
        <f>SUM(D23:D25)</f>
        <v>216386.45499999999</v>
      </c>
      <c r="E27" s="4"/>
      <c r="F27" s="4"/>
      <c r="G27" s="4"/>
      <c r="H27" s="4"/>
      <c r="I27" s="4"/>
      <c r="J27" s="4"/>
      <c r="K27" s="4"/>
      <c r="L27" s="4"/>
      <c r="M27" s="4">
        <f>SUM(M23:M25)</f>
        <v>1147341.6011976337</v>
      </c>
      <c r="N27" s="1"/>
      <c r="O27" s="1"/>
      <c r="P27" s="1"/>
      <c r="Q27" s="1"/>
      <c r="R27" s="1"/>
    </row>
    <row r="28" spans="1:21" ht="15.75" x14ac:dyDescent="0.25">
      <c r="A28" s="1"/>
      <c r="B28" s="1"/>
      <c r="C28" s="101" t="s">
        <v>132</v>
      </c>
      <c r="D28" s="4">
        <f>+D21+D27</f>
        <v>445997.53599999996</v>
      </c>
      <c r="E28" s="4"/>
      <c r="F28" s="4"/>
      <c r="G28" s="4"/>
      <c r="H28" s="4"/>
      <c r="I28" s="4"/>
      <c r="J28" s="4"/>
      <c r="K28" s="4"/>
      <c r="L28" s="4"/>
      <c r="M28" s="4">
        <f>+M27+M21</f>
        <v>2367740.6673627682</v>
      </c>
      <c r="N28" s="1"/>
      <c r="O28" s="1"/>
      <c r="P28" s="1"/>
      <c r="Q28" s="1"/>
      <c r="R28" s="1"/>
    </row>
    <row r="29" spans="1:21" ht="15.75" x14ac:dyDescent="0.25">
      <c r="A29" s="1"/>
      <c r="B29" s="1"/>
      <c r="C29" s="92" t="s">
        <v>133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1"/>
      <c r="O29" s="1"/>
      <c r="P29" s="1"/>
      <c r="Q29" s="1"/>
      <c r="R29" s="1"/>
    </row>
    <row r="30" spans="1:21" ht="15" x14ac:dyDescent="0.2">
      <c r="A30" s="1"/>
      <c r="B30" s="1"/>
      <c r="C30" s="10" t="s">
        <v>134</v>
      </c>
      <c r="D30" s="221">
        <f>+'[3]Summary Category RPW Data'!$E$166/1000+'[3]Summary Category RPW Data'!$E$168/1000</f>
        <v>84118.954000000012</v>
      </c>
      <c r="E30" s="4">
        <f>+$D30/E$6*E$5</f>
        <v>19378.433647603357</v>
      </c>
      <c r="F30" s="4">
        <f>+$D30/F$6*F$5</f>
        <v>230318.39732884036</v>
      </c>
      <c r="G30" s="5" t="s">
        <v>150</v>
      </c>
      <c r="H30" s="5" t="s">
        <v>150</v>
      </c>
      <c r="I30" s="5" t="s">
        <v>150</v>
      </c>
      <c r="J30" s="5" t="s">
        <v>150</v>
      </c>
      <c r="K30" s="4">
        <f>+$D30/K$6*K$5</f>
        <v>30693.956531448315</v>
      </c>
      <c r="L30" s="4">
        <f>+$D30/L$6*L$5</f>
        <v>46535.044180318015</v>
      </c>
      <c r="M30" s="4">
        <f>SUM(E30:L30)</f>
        <v>326925.83168821002</v>
      </c>
      <c r="N30" s="1"/>
      <c r="O30" s="1"/>
      <c r="P30" s="1"/>
      <c r="Q30" s="1"/>
      <c r="R30" s="1"/>
    </row>
    <row r="31" spans="1:21" ht="15" x14ac:dyDescent="0.2">
      <c r="A31" s="1"/>
      <c r="B31" s="1"/>
      <c r="C31" s="7" t="s">
        <v>126</v>
      </c>
      <c r="D31" s="221">
        <f>+'[3]Summary Category RPW Data'!$E$167/1000</f>
        <v>4689.4719999999998</v>
      </c>
      <c r="E31" s="4">
        <f>+$D31/E$6*E$5</f>
        <v>1080.310889199761</v>
      </c>
      <c r="F31" s="4">
        <f>+$D31/F$6*F$5</f>
        <v>12839.813430852593</v>
      </c>
      <c r="G31" s="4">
        <f>+$D31/G$6*G$5</f>
        <v>38506</v>
      </c>
      <c r="H31" s="5" t="s">
        <v>150</v>
      </c>
      <c r="I31" s="4">
        <f>+$D31/I$6*I$5</f>
        <v>9094.0648066837166</v>
      </c>
      <c r="J31" s="5" t="s">
        <v>150</v>
      </c>
      <c r="K31" s="4"/>
      <c r="L31" s="4"/>
      <c r="M31" s="4">
        <f>SUM(E31:L31)</f>
        <v>61520.18912673607</v>
      </c>
      <c r="N31" s="1"/>
      <c r="O31" s="1"/>
      <c r="P31" s="1"/>
      <c r="Q31" s="1"/>
      <c r="R31" s="1"/>
    </row>
    <row r="32" spans="1:21" ht="15.75" x14ac:dyDescent="0.25">
      <c r="A32" s="1"/>
      <c r="B32" s="1"/>
      <c r="C32" s="101" t="s">
        <v>135</v>
      </c>
      <c r="D32" s="4">
        <f>SUM(D30:D31)</f>
        <v>88808.426000000007</v>
      </c>
      <c r="E32" s="4"/>
      <c r="F32" s="4"/>
      <c r="G32" s="4"/>
      <c r="H32" s="4"/>
      <c r="I32" s="4"/>
      <c r="J32" s="4"/>
      <c r="K32" s="4"/>
      <c r="L32" s="4"/>
      <c r="M32" s="4">
        <f>SUM(M30:M31)</f>
        <v>388446.0208149461</v>
      </c>
      <c r="N32" s="1"/>
      <c r="O32" s="1"/>
      <c r="P32" s="1"/>
      <c r="Q32" s="1"/>
      <c r="R32" s="1"/>
    </row>
    <row r="33" spans="1:18" ht="15.75" x14ac:dyDescent="0.25">
      <c r="A33" s="1"/>
      <c r="B33" s="1"/>
      <c r="C33" s="92" t="s">
        <v>136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1"/>
      <c r="O33" s="1"/>
      <c r="P33" s="1"/>
      <c r="Q33" s="1"/>
      <c r="R33" s="1"/>
    </row>
    <row r="34" spans="1:18" ht="15" x14ac:dyDescent="0.2">
      <c r="A34" s="1"/>
      <c r="B34" s="1"/>
      <c r="C34" s="10" t="s">
        <v>134</v>
      </c>
      <c r="D34" s="221">
        <f>+'[3]Summary Category RPW Data'!$E$169/1000+'[3]Summary Category RPW Data'!$E$171/1000</f>
        <v>5242.8860000000004</v>
      </c>
      <c r="E34" s="4">
        <f>+$D34/E$6*E$5</f>
        <v>1207.8005448444899</v>
      </c>
      <c r="F34" s="4">
        <f>+$D34/F$6*F$5</f>
        <v>14355.065576514595</v>
      </c>
      <c r="G34" s="5" t="s">
        <v>150</v>
      </c>
      <c r="H34" s="5" t="s">
        <v>150</v>
      </c>
      <c r="I34" s="5" t="s">
        <v>150</v>
      </c>
      <c r="J34" s="5" t="s">
        <v>150</v>
      </c>
      <c r="K34" s="4">
        <f>+$D34/K$6*K$5</f>
        <v>1913.0636715161593</v>
      </c>
      <c r="L34" s="4">
        <f>+$D34/L$6*L$5</f>
        <v>2900.3918860233421</v>
      </c>
      <c r="M34" s="4">
        <f>SUM(E34:L34)</f>
        <v>20376.321678898585</v>
      </c>
      <c r="N34" s="1"/>
      <c r="O34" s="1"/>
      <c r="P34" s="1"/>
      <c r="Q34" s="1"/>
      <c r="R34" s="1"/>
    </row>
    <row r="35" spans="1:18" ht="15" x14ac:dyDescent="0.2">
      <c r="A35" s="1"/>
      <c r="B35" s="1"/>
      <c r="C35" s="7" t="s">
        <v>126</v>
      </c>
      <c r="D35" s="221">
        <f>+'[3]Summary Category RPW Data'!$E$170/1000</f>
        <v>472.54500000000002</v>
      </c>
      <c r="E35" s="4">
        <f>+$D35/E$6*E$5</f>
        <v>108.85991197663643</v>
      </c>
      <c r="F35" s="4">
        <f>+$D35/F$6*F$5</f>
        <v>1293.8321494791396</v>
      </c>
      <c r="G35" s="5" t="s">
        <v>150</v>
      </c>
      <c r="H35" s="5" t="s">
        <v>150</v>
      </c>
      <c r="I35" s="4">
        <f>+$D35/I$6*I$5</f>
        <v>916.38351909860148</v>
      </c>
      <c r="J35" s="5" t="s">
        <v>150</v>
      </c>
      <c r="K35" s="4"/>
      <c r="L35" s="4"/>
      <c r="M35" s="4">
        <f>SUM(E35:L35)</f>
        <v>2319.0755805543777</v>
      </c>
      <c r="N35" s="1"/>
      <c r="O35" s="1"/>
      <c r="P35" s="1"/>
      <c r="Q35" s="1"/>
      <c r="R35" s="1"/>
    </row>
    <row r="36" spans="1:18" ht="15.75" x14ac:dyDescent="0.25">
      <c r="A36" s="1"/>
      <c r="B36" s="1"/>
      <c r="C36" s="101" t="s">
        <v>137</v>
      </c>
      <c r="D36" s="4">
        <f>SUM(D34:D35)</f>
        <v>5715.4310000000005</v>
      </c>
      <c r="E36" s="4"/>
      <c r="F36" s="4"/>
      <c r="G36" s="4"/>
      <c r="H36" s="4"/>
      <c r="I36" s="4"/>
      <c r="J36" s="4"/>
      <c r="K36" s="4"/>
      <c r="L36" s="4"/>
      <c r="M36" s="4">
        <f>SUM(M34:M35)</f>
        <v>22695.397259452962</v>
      </c>
      <c r="N36" s="1"/>
      <c r="O36" s="1"/>
      <c r="P36" s="1"/>
      <c r="Q36" s="1"/>
      <c r="R36" s="1"/>
    </row>
    <row r="37" spans="1:18" ht="15.75" x14ac:dyDescent="0.25">
      <c r="A37" s="1"/>
      <c r="B37" s="1"/>
      <c r="C37" s="101" t="s">
        <v>138</v>
      </c>
      <c r="D37" s="80">
        <f>+D36+D32</f>
        <v>94523.857000000004</v>
      </c>
      <c r="E37" s="4"/>
      <c r="F37" s="4"/>
      <c r="G37" s="4"/>
      <c r="H37" s="4"/>
      <c r="I37" s="4"/>
      <c r="J37" s="4"/>
      <c r="K37" s="4"/>
      <c r="L37" s="4"/>
      <c r="M37" s="80">
        <f>+M36+M32</f>
        <v>411141.41807439906</v>
      </c>
      <c r="N37" s="1"/>
      <c r="O37" s="1"/>
      <c r="P37" s="1"/>
      <c r="Q37" s="1"/>
      <c r="R37" s="1"/>
    </row>
    <row r="38" spans="1:18" ht="15.75" x14ac:dyDescent="0.25">
      <c r="A38" s="1"/>
      <c r="B38" s="1"/>
      <c r="C38" s="112" t="s">
        <v>139</v>
      </c>
      <c r="D38" s="4">
        <f>+D37+D28+D11+D12</f>
        <v>570981.64199999999</v>
      </c>
      <c r="E38" s="4"/>
      <c r="F38" s="4"/>
      <c r="G38" s="4"/>
      <c r="H38" s="4"/>
      <c r="I38" s="4"/>
      <c r="J38" s="4"/>
      <c r="K38" s="4"/>
      <c r="L38" s="4"/>
      <c r="M38" s="4">
        <f>+M37+M28+M11</f>
        <v>2893744.0000000005</v>
      </c>
      <c r="N38" s="1"/>
      <c r="O38" s="1"/>
      <c r="P38" s="1"/>
      <c r="Q38" s="1"/>
      <c r="R38" s="1"/>
    </row>
    <row r="39" spans="1:18" ht="1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" x14ac:dyDescent="0.2">
      <c r="A40" s="1"/>
      <c r="B40" s="1"/>
      <c r="C40" s="16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B2:M42"/>
  <sheetViews>
    <sheetView workbookViewId="0">
      <selection activeCell="B4" sqref="B4"/>
    </sheetView>
  </sheetViews>
  <sheetFormatPr defaultRowHeight="15" x14ac:dyDescent="0.2"/>
  <cols>
    <col min="1" max="1" width="9.140625" style="1"/>
    <col min="2" max="2" width="31.5703125" style="1" bestFit="1" customWidth="1"/>
    <col min="3" max="3" width="15.28515625" style="1" bestFit="1" customWidth="1"/>
    <col min="4" max="6" width="15.28515625" style="1" customWidth="1"/>
    <col min="7" max="7" width="16.28515625" style="1" customWidth="1"/>
    <col min="8" max="8" width="15.28515625" style="1" bestFit="1" customWidth="1"/>
    <col min="9" max="9" width="10.28515625" style="1" bestFit="1" customWidth="1"/>
    <col min="10" max="10" width="18.5703125" style="1" bestFit="1" customWidth="1"/>
    <col min="11" max="11" width="47.5703125" style="1" bestFit="1" customWidth="1"/>
    <col min="12" max="12" width="11.85546875" style="1" bestFit="1" customWidth="1"/>
    <col min="13" max="13" width="25.85546875" style="1" bestFit="1" customWidth="1"/>
    <col min="14" max="14" width="17" style="1" bestFit="1" customWidth="1"/>
    <col min="15" max="15" width="12.42578125" style="1" bestFit="1" customWidth="1"/>
    <col min="16" max="16" width="16" style="1" bestFit="1" customWidth="1"/>
    <col min="17" max="17" width="10.42578125" style="1" bestFit="1" customWidth="1"/>
    <col min="18" max="18" width="27.5703125" style="1" bestFit="1" customWidth="1"/>
    <col min="19" max="248" width="9.140625" style="1"/>
    <col min="249" max="249" width="31.5703125" style="1" bestFit="1" customWidth="1"/>
    <col min="250" max="250" width="15.28515625" style="1" bestFit="1" customWidth="1"/>
    <col min="251" max="253" width="15.28515625" style="1" customWidth="1"/>
    <col min="254" max="254" width="16" style="1" bestFit="1" customWidth="1"/>
    <col min="255" max="257" width="16.140625" style="1" customWidth="1"/>
    <col min="258" max="258" width="16.28515625" style="1" customWidth="1"/>
    <col min="259" max="259" width="14.7109375" style="1" bestFit="1" customWidth="1"/>
    <col min="260" max="260" width="15" style="1" bestFit="1" customWidth="1"/>
    <col min="261" max="261" width="16.85546875" style="1" customWidth="1"/>
    <col min="262" max="262" width="16" style="1" bestFit="1" customWidth="1"/>
    <col min="263" max="263" width="16.28515625" style="1" customWidth="1"/>
    <col min="264" max="264" width="15.28515625" style="1" bestFit="1" customWidth="1"/>
    <col min="265" max="265" width="10.28515625" style="1" bestFit="1" customWidth="1"/>
    <col min="266" max="266" width="18.5703125" style="1" bestFit="1" customWidth="1"/>
    <col min="267" max="267" width="14" style="1" bestFit="1" customWidth="1"/>
    <col min="268" max="268" width="11.85546875" style="1" bestFit="1" customWidth="1"/>
    <col min="269" max="269" width="25.85546875" style="1" bestFit="1" customWidth="1"/>
    <col min="270" max="270" width="17" style="1" bestFit="1" customWidth="1"/>
    <col min="271" max="271" width="12.42578125" style="1" bestFit="1" customWidth="1"/>
    <col min="272" max="272" width="16" style="1" bestFit="1" customWidth="1"/>
    <col min="273" max="273" width="10.42578125" style="1" bestFit="1" customWidth="1"/>
    <col min="274" max="274" width="27.5703125" style="1" bestFit="1" customWidth="1"/>
    <col min="275" max="504" width="9.140625" style="1"/>
    <col min="505" max="505" width="31.5703125" style="1" bestFit="1" customWidth="1"/>
    <col min="506" max="506" width="15.28515625" style="1" bestFit="1" customWidth="1"/>
    <col min="507" max="509" width="15.28515625" style="1" customWidth="1"/>
    <col min="510" max="510" width="16" style="1" bestFit="1" customWidth="1"/>
    <col min="511" max="513" width="16.140625" style="1" customWidth="1"/>
    <col min="514" max="514" width="16.28515625" style="1" customWidth="1"/>
    <col min="515" max="515" width="14.7109375" style="1" bestFit="1" customWidth="1"/>
    <col min="516" max="516" width="15" style="1" bestFit="1" customWidth="1"/>
    <col min="517" max="517" width="16.85546875" style="1" customWidth="1"/>
    <col min="518" max="518" width="16" style="1" bestFit="1" customWidth="1"/>
    <col min="519" max="519" width="16.28515625" style="1" customWidth="1"/>
    <col min="520" max="520" width="15.28515625" style="1" bestFit="1" customWidth="1"/>
    <col min="521" max="521" width="10.28515625" style="1" bestFit="1" customWidth="1"/>
    <col min="522" max="522" width="18.5703125" style="1" bestFit="1" customWidth="1"/>
    <col min="523" max="523" width="14" style="1" bestFit="1" customWidth="1"/>
    <col min="524" max="524" width="11.85546875" style="1" bestFit="1" customWidth="1"/>
    <col min="525" max="525" width="25.85546875" style="1" bestFit="1" customWidth="1"/>
    <col min="526" max="526" width="17" style="1" bestFit="1" customWidth="1"/>
    <col min="527" max="527" width="12.42578125" style="1" bestFit="1" customWidth="1"/>
    <col min="528" max="528" width="16" style="1" bestFit="1" customWidth="1"/>
    <col min="529" max="529" width="10.42578125" style="1" bestFit="1" customWidth="1"/>
    <col min="530" max="530" width="27.5703125" style="1" bestFit="1" customWidth="1"/>
    <col min="531" max="760" width="9.140625" style="1"/>
    <col min="761" max="761" width="31.5703125" style="1" bestFit="1" customWidth="1"/>
    <col min="762" max="762" width="15.28515625" style="1" bestFit="1" customWidth="1"/>
    <col min="763" max="765" width="15.28515625" style="1" customWidth="1"/>
    <col min="766" max="766" width="16" style="1" bestFit="1" customWidth="1"/>
    <col min="767" max="769" width="16.140625" style="1" customWidth="1"/>
    <col min="770" max="770" width="16.28515625" style="1" customWidth="1"/>
    <col min="771" max="771" width="14.7109375" style="1" bestFit="1" customWidth="1"/>
    <col min="772" max="772" width="15" style="1" bestFit="1" customWidth="1"/>
    <col min="773" max="773" width="16.85546875" style="1" customWidth="1"/>
    <col min="774" max="774" width="16" style="1" bestFit="1" customWidth="1"/>
    <col min="775" max="775" width="16.28515625" style="1" customWidth="1"/>
    <col min="776" max="776" width="15.28515625" style="1" bestFit="1" customWidth="1"/>
    <col min="777" max="777" width="10.28515625" style="1" bestFit="1" customWidth="1"/>
    <col min="778" max="778" width="18.5703125" style="1" bestFit="1" customWidth="1"/>
    <col min="779" max="779" width="14" style="1" bestFit="1" customWidth="1"/>
    <col min="780" max="780" width="11.85546875" style="1" bestFit="1" customWidth="1"/>
    <col min="781" max="781" width="25.85546875" style="1" bestFit="1" customWidth="1"/>
    <col min="782" max="782" width="17" style="1" bestFit="1" customWidth="1"/>
    <col min="783" max="783" width="12.42578125" style="1" bestFit="1" customWidth="1"/>
    <col min="784" max="784" width="16" style="1" bestFit="1" customWidth="1"/>
    <col min="785" max="785" width="10.42578125" style="1" bestFit="1" customWidth="1"/>
    <col min="786" max="786" width="27.5703125" style="1" bestFit="1" customWidth="1"/>
    <col min="787" max="1016" width="9.140625" style="1"/>
    <col min="1017" max="1017" width="31.5703125" style="1" bestFit="1" customWidth="1"/>
    <col min="1018" max="1018" width="15.28515625" style="1" bestFit="1" customWidth="1"/>
    <col min="1019" max="1021" width="15.28515625" style="1" customWidth="1"/>
    <col min="1022" max="1022" width="16" style="1" bestFit="1" customWidth="1"/>
    <col min="1023" max="1025" width="16.140625" style="1" customWidth="1"/>
    <col min="1026" max="1026" width="16.28515625" style="1" customWidth="1"/>
    <col min="1027" max="1027" width="14.7109375" style="1" bestFit="1" customWidth="1"/>
    <col min="1028" max="1028" width="15" style="1" bestFit="1" customWidth="1"/>
    <col min="1029" max="1029" width="16.85546875" style="1" customWidth="1"/>
    <col min="1030" max="1030" width="16" style="1" bestFit="1" customWidth="1"/>
    <col min="1031" max="1031" width="16.28515625" style="1" customWidth="1"/>
    <col min="1032" max="1032" width="15.28515625" style="1" bestFit="1" customWidth="1"/>
    <col min="1033" max="1033" width="10.28515625" style="1" bestFit="1" customWidth="1"/>
    <col min="1034" max="1034" width="18.5703125" style="1" bestFit="1" customWidth="1"/>
    <col min="1035" max="1035" width="14" style="1" bestFit="1" customWidth="1"/>
    <col min="1036" max="1036" width="11.85546875" style="1" bestFit="1" customWidth="1"/>
    <col min="1037" max="1037" width="25.85546875" style="1" bestFit="1" customWidth="1"/>
    <col min="1038" max="1038" width="17" style="1" bestFit="1" customWidth="1"/>
    <col min="1039" max="1039" width="12.42578125" style="1" bestFit="1" customWidth="1"/>
    <col min="1040" max="1040" width="16" style="1" bestFit="1" customWidth="1"/>
    <col min="1041" max="1041" width="10.42578125" style="1" bestFit="1" customWidth="1"/>
    <col min="1042" max="1042" width="27.5703125" style="1" bestFit="1" customWidth="1"/>
    <col min="1043" max="1272" width="9.140625" style="1"/>
    <col min="1273" max="1273" width="31.5703125" style="1" bestFit="1" customWidth="1"/>
    <col min="1274" max="1274" width="15.28515625" style="1" bestFit="1" customWidth="1"/>
    <col min="1275" max="1277" width="15.28515625" style="1" customWidth="1"/>
    <col min="1278" max="1278" width="16" style="1" bestFit="1" customWidth="1"/>
    <col min="1279" max="1281" width="16.140625" style="1" customWidth="1"/>
    <col min="1282" max="1282" width="16.28515625" style="1" customWidth="1"/>
    <col min="1283" max="1283" width="14.7109375" style="1" bestFit="1" customWidth="1"/>
    <col min="1284" max="1284" width="15" style="1" bestFit="1" customWidth="1"/>
    <col min="1285" max="1285" width="16.85546875" style="1" customWidth="1"/>
    <col min="1286" max="1286" width="16" style="1" bestFit="1" customWidth="1"/>
    <col min="1287" max="1287" width="16.28515625" style="1" customWidth="1"/>
    <col min="1288" max="1288" width="15.28515625" style="1" bestFit="1" customWidth="1"/>
    <col min="1289" max="1289" width="10.28515625" style="1" bestFit="1" customWidth="1"/>
    <col min="1290" max="1290" width="18.5703125" style="1" bestFit="1" customWidth="1"/>
    <col min="1291" max="1291" width="14" style="1" bestFit="1" customWidth="1"/>
    <col min="1292" max="1292" width="11.85546875" style="1" bestFit="1" customWidth="1"/>
    <col min="1293" max="1293" width="25.85546875" style="1" bestFit="1" customWidth="1"/>
    <col min="1294" max="1294" width="17" style="1" bestFit="1" customWidth="1"/>
    <col min="1295" max="1295" width="12.42578125" style="1" bestFit="1" customWidth="1"/>
    <col min="1296" max="1296" width="16" style="1" bestFit="1" customWidth="1"/>
    <col min="1297" max="1297" width="10.42578125" style="1" bestFit="1" customWidth="1"/>
    <col min="1298" max="1298" width="27.5703125" style="1" bestFit="1" customWidth="1"/>
    <col min="1299" max="1528" width="9.140625" style="1"/>
    <col min="1529" max="1529" width="31.5703125" style="1" bestFit="1" customWidth="1"/>
    <col min="1530" max="1530" width="15.28515625" style="1" bestFit="1" customWidth="1"/>
    <col min="1531" max="1533" width="15.28515625" style="1" customWidth="1"/>
    <col min="1534" max="1534" width="16" style="1" bestFit="1" customWidth="1"/>
    <col min="1535" max="1537" width="16.140625" style="1" customWidth="1"/>
    <col min="1538" max="1538" width="16.28515625" style="1" customWidth="1"/>
    <col min="1539" max="1539" width="14.7109375" style="1" bestFit="1" customWidth="1"/>
    <col min="1540" max="1540" width="15" style="1" bestFit="1" customWidth="1"/>
    <col min="1541" max="1541" width="16.85546875" style="1" customWidth="1"/>
    <col min="1542" max="1542" width="16" style="1" bestFit="1" customWidth="1"/>
    <col min="1543" max="1543" width="16.28515625" style="1" customWidth="1"/>
    <col min="1544" max="1544" width="15.28515625" style="1" bestFit="1" customWidth="1"/>
    <col min="1545" max="1545" width="10.28515625" style="1" bestFit="1" customWidth="1"/>
    <col min="1546" max="1546" width="18.5703125" style="1" bestFit="1" customWidth="1"/>
    <col min="1547" max="1547" width="14" style="1" bestFit="1" customWidth="1"/>
    <col min="1548" max="1548" width="11.85546875" style="1" bestFit="1" customWidth="1"/>
    <col min="1549" max="1549" width="25.85546875" style="1" bestFit="1" customWidth="1"/>
    <col min="1550" max="1550" width="17" style="1" bestFit="1" customWidth="1"/>
    <col min="1551" max="1551" width="12.42578125" style="1" bestFit="1" customWidth="1"/>
    <col min="1552" max="1552" width="16" style="1" bestFit="1" customWidth="1"/>
    <col min="1553" max="1553" width="10.42578125" style="1" bestFit="1" customWidth="1"/>
    <col min="1554" max="1554" width="27.5703125" style="1" bestFit="1" customWidth="1"/>
    <col min="1555" max="1784" width="9.140625" style="1"/>
    <col min="1785" max="1785" width="31.5703125" style="1" bestFit="1" customWidth="1"/>
    <col min="1786" max="1786" width="15.28515625" style="1" bestFit="1" customWidth="1"/>
    <col min="1787" max="1789" width="15.28515625" style="1" customWidth="1"/>
    <col min="1790" max="1790" width="16" style="1" bestFit="1" customWidth="1"/>
    <col min="1791" max="1793" width="16.140625" style="1" customWidth="1"/>
    <col min="1794" max="1794" width="16.28515625" style="1" customWidth="1"/>
    <col min="1795" max="1795" width="14.7109375" style="1" bestFit="1" customWidth="1"/>
    <col min="1796" max="1796" width="15" style="1" bestFit="1" customWidth="1"/>
    <col min="1797" max="1797" width="16.85546875" style="1" customWidth="1"/>
    <col min="1798" max="1798" width="16" style="1" bestFit="1" customWidth="1"/>
    <col min="1799" max="1799" width="16.28515625" style="1" customWidth="1"/>
    <col min="1800" max="1800" width="15.28515625" style="1" bestFit="1" customWidth="1"/>
    <col min="1801" max="1801" width="10.28515625" style="1" bestFit="1" customWidth="1"/>
    <col min="1802" max="1802" width="18.5703125" style="1" bestFit="1" customWidth="1"/>
    <col min="1803" max="1803" width="14" style="1" bestFit="1" customWidth="1"/>
    <col min="1804" max="1804" width="11.85546875" style="1" bestFit="1" customWidth="1"/>
    <col min="1805" max="1805" width="25.85546875" style="1" bestFit="1" customWidth="1"/>
    <col min="1806" max="1806" width="17" style="1" bestFit="1" customWidth="1"/>
    <col min="1807" max="1807" width="12.42578125" style="1" bestFit="1" customWidth="1"/>
    <col min="1808" max="1808" width="16" style="1" bestFit="1" customWidth="1"/>
    <col min="1809" max="1809" width="10.42578125" style="1" bestFit="1" customWidth="1"/>
    <col min="1810" max="1810" width="27.5703125" style="1" bestFit="1" customWidth="1"/>
    <col min="1811" max="2040" width="9.140625" style="1"/>
    <col min="2041" max="2041" width="31.5703125" style="1" bestFit="1" customWidth="1"/>
    <col min="2042" max="2042" width="15.28515625" style="1" bestFit="1" customWidth="1"/>
    <col min="2043" max="2045" width="15.28515625" style="1" customWidth="1"/>
    <col min="2046" max="2046" width="16" style="1" bestFit="1" customWidth="1"/>
    <col min="2047" max="2049" width="16.140625" style="1" customWidth="1"/>
    <col min="2050" max="2050" width="16.28515625" style="1" customWidth="1"/>
    <col min="2051" max="2051" width="14.7109375" style="1" bestFit="1" customWidth="1"/>
    <col min="2052" max="2052" width="15" style="1" bestFit="1" customWidth="1"/>
    <col min="2053" max="2053" width="16.85546875" style="1" customWidth="1"/>
    <col min="2054" max="2054" width="16" style="1" bestFit="1" customWidth="1"/>
    <col min="2055" max="2055" width="16.28515625" style="1" customWidth="1"/>
    <col min="2056" max="2056" width="15.28515625" style="1" bestFit="1" customWidth="1"/>
    <col min="2057" max="2057" width="10.28515625" style="1" bestFit="1" customWidth="1"/>
    <col min="2058" max="2058" width="18.5703125" style="1" bestFit="1" customWidth="1"/>
    <col min="2059" max="2059" width="14" style="1" bestFit="1" customWidth="1"/>
    <col min="2060" max="2060" width="11.85546875" style="1" bestFit="1" customWidth="1"/>
    <col min="2061" max="2061" width="25.85546875" style="1" bestFit="1" customWidth="1"/>
    <col min="2062" max="2062" width="17" style="1" bestFit="1" customWidth="1"/>
    <col min="2063" max="2063" width="12.42578125" style="1" bestFit="1" customWidth="1"/>
    <col min="2064" max="2064" width="16" style="1" bestFit="1" customWidth="1"/>
    <col min="2065" max="2065" width="10.42578125" style="1" bestFit="1" customWidth="1"/>
    <col min="2066" max="2066" width="27.5703125" style="1" bestFit="1" customWidth="1"/>
    <col min="2067" max="2296" width="9.140625" style="1"/>
    <col min="2297" max="2297" width="31.5703125" style="1" bestFit="1" customWidth="1"/>
    <col min="2298" max="2298" width="15.28515625" style="1" bestFit="1" customWidth="1"/>
    <col min="2299" max="2301" width="15.28515625" style="1" customWidth="1"/>
    <col min="2302" max="2302" width="16" style="1" bestFit="1" customWidth="1"/>
    <col min="2303" max="2305" width="16.140625" style="1" customWidth="1"/>
    <col min="2306" max="2306" width="16.28515625" style="1" customWidth="1"/>
    <col min="2307" max="2307" width="14.7109375" style="1" bestFit="1" customWidth="1"/>
    <col min="2308" max="2308" width="15" style="1" bestFit="1" customWidth="1"/>
    <col min="2309" max="2309" width="16.85546875" style="1" customWidth="1"/>
    <col min="2310" max="2310" width="16" style="1" bestFit="1" customWidth="1"/>
    <col min="2311" max="2311" width="16.28515625" style="1" customWidth="1"/>
    <col min="2312" max="2312" width="15.28515625" style="1" bestFit="1" customWidth="1"/>
    <col min="2313" max="2313" width="10.28515625" style="1" bestFit="1" customWidth="1"/>
    <col min="2314" max="2314" width="18.5703125" style="1" bestFit="1" customWidth="1"/>
    <col min="2315" max="2315" width="14" style="1" bestFit="1" customWidth="1"/>
    <col min="2316" max="2316" width="11.85546875" style="1" bestFit="1" customWidth="1"/>
    <col min="2317" max="2317" width="25.85546875" style="1" bestFit="1" customWidth="1"/>
    <col min="2318" max="2318" width="17" style="1" bestFit="1" customWidth="1"/>
    <col min="2319" max="2319" width="12.42578125" style="1" bestFit="1" customWidth="1"/>
    <col min="2320" max="2320" width="16" style="1" bestFit="1" customWidth="1"/>
    <col min="2321" max="2321" width="10.42578125" style="1" bestFit="1" customWidth="1"/>
    <col min="2322" max="2322" width="27.5703125" style="1" bestFit="1" customWidth="1"/>
    <col min="2323" max="2552" width="9.140625" style="1"/>
    <col min="2553" max="2553" width="31.5703125" style="1" bestFit="1" customWidth="1"/>
    <col min="2554" max="2554" width="15.28515625" style="1" bestFit="1" customWidth="1"/>
    <col min="2555" max="2557" width="15.28515625" style="1" customWidth="1"/>
    <col min="2558" max="2558" width="16" style="1" bestFit="1" customWidth="1"/>
    <col min="2559" max="2561" width="16.140625" style="1" customWidth="1"/>
    <col min="2562" max="2562" width="16.28515625" style="1" customWidth="1"/>
    <col min="2563" max="2563" width="14.7109375" style="1" bestFit="1" customWidth="1"/>
    <col min="2564" max="2564" width="15" style="1" bestFit="1" customWidth="1"/>
    <col min="2565" max="2565" width="16.85546875" style="1" customWidth="1"/>
    <col min="2566" max="2566" width="16" style="1" bestFit="1" customWidth="1"/>
    <col min="2567" max="2567" width="16.28515625" style="1" customWidth="1"/>
    <col min="2568" max="2568" width="15.28515625" style="1" bestFit="1" customWidth="1"/>
    <col min="2569" max="2569" width="10.28515625" style="1" bestFit="1" customWidth="1"/>
    <col min="2570" max="2570" width="18.5703125" style="1" bestFit="1" customWidth="1"/>
    <col min="2571" max="2571" width="14" style="1" bestFit="1" customWidth="1"/>
    <col min="2572" max="2572" width="11.85546875" style="1" bestFit="1" customWidth="1"/>
    <col min="2573" max="2573" width="25.85546875" style="1" bestFit="1" customWidth="1"/>
    <col min="2574" max="2574" width="17" style="1" bestFit="1" customWidth="1"/>
    <col min="2575" max="2575" width="12.42578125" style="1" bestFit="1" customWidth="1"/>
    <col min="2576" max="2576" width="16" style="1" bestFit="1" customWidth="1"/>
    <col min="2577" max="2577" width="10.42578125" style="1" bestFit="1" customWidth="1"/>
    <col min="2578" max="2578" width="27.5703125" style="1" bestFit="1" customWidth="1"/>
    <col min="2579" max="2808" width="9.140625" style="1"/>
    <col min="2809" max="2809" width="31.5703125" style="1" bestFit="1" customWidth="1"/>
    <col min="2810" max="2810" width="15.28515625" style="1" bestFit="1" customWidth="1"/>
    <col min="2811" max="2813" width="15.28515625" style="1" customWidth="1"/>
    <col min="2814" max="2814" width="16" style="1" bestFit="1" customWidth="1"/>
    <col min="2815" max="2817" width="16.140625" style="1" customWidth="1"/>
    <col min="2818" max="2818" width="16.28515625" style="1" customWidth="1"/>
    <col min="2819" max="2819" width="14.7109375" style="1" bestFit="1" customWidth="1"/>
    <col min="2820" max="2820" width="15" style="1" bestFit="1" customWidth="1"/>
    <col min="2821" max="2821" width="16.85546875" style="1" customWidth="1"/>
    <col min="2822" max="2822" width="16" style="1" bestFit="1" customWidth="1"/>
    <col min="2823" max="2823" width="16.28515625" style="1" customWidth="1"/>
    <col min="2824" max="2824" width="15.28515625" style="1" bestFit="1" customWidth="1"/>
    <col min="2825" max="2825" width="10.28515625" style="1" bestFit="1" customWidth="1"/>
    <col min="2826" max="2826" width="18.5703125" style="1" bestFit="1" customWidth="1"/>
    <col min="2827" max="2827" width="14" style="1" bestFit="1" customWidth="1"/>
    <col min="2828" max="2828" width="11.85546875" style="1" bestFit="1" customWidth="1"/>
    <col min="2829" max="2829" width="25.85546875" style="1" bestFit="1" customWidth="1"/>
    <col min="2830" max="2830" width="17" style="1" bestFit="1" customWidth="1"/>
    <col min="2831" max="2831" width="12.42578125" style="1" bestFit="1" customWidth="1"/>
    <col min="2832" max="2832" width="16" style="1" bestFit="1" customWidth="1"/>
    <col min="2833" max="2833" width="10.42578125" style="1" bestFit="1" customWidth="1"/>
    <col min="2834" max="2834" width="27.5703125" style="1" bestFit="1" customWidth="1"/>
    <col min="2835" max="3064" width="9.140625" style="1"/>
    <col min="3065" max="3065" width="31.5703125" style="1" bestFit="1" customWidth="1"/>
    <col min="3066" max="3066" width="15.28515625" style="1" bestFit="1" customWidth="1"/>
    <col min="3067" max="3069" width="15.28515625" style="1" customWidth="1"/>
    <col min="3070" max="3070" width="16" style="1" bestFit="1" customWidth="1"/>
    <col min="3071" max="3073" width="16.140625" style="1" customWidth="1"/>
    <col min="3074" max="3074" width="16.28515625" style="1" customWidth="1"/>
    <col min="3075" max="3075" width="14.7109375" style="1" bestFit="1" customWidth="1"/>
    <col min="3076" max="3076" width="15" style="1" bestFit="1" customWidth="1"/>
    <col min="3077" max="3077" width="16.85546875" style="1" customWidth="1"/>
    <col min="3078" max="3078" width="16" style="1" bestFit="1" customWidth="1"/>
    <col min="3079" max="3079" width="16.28515625" style="1" customWidth="1"/>
    <col min="3080" max="3080" width="15.28515625" style="1" bestFit="1" customWidth="1"/>
    <col min="3081" max="3081" width="10.28515625" style="1" bestFit="1" customWidth="1"/>
    <col min="3082" max="3082" width="18.5703125" style="1" bestFit="1" customWidth="1"/>
    <col min="3083" max="3083" width="14" style="1" bestFit="1" customWidth="1"/>
    <col min="3084" max="3084" width="11.85546875" style="1" bestFit="1" customWidth="1"/>
    <col min="3085" max="3085" width="25.85546875" style="1" bestFit="1" customWidth="1"/>
    <col min="3086" max="3086" width="17" style="1" bestFit="1" customWidth="1"/>
    <col min="3087" max="3087" width="12.42578125" style="1" bestFit="1" customWidth="1"/>
    <col min="3088" max="3088" width="16" style="1" bestFit="1" customWidth="1"/>
    <col min="3089" max="3089" width="10.42578125" style="1" bestFit="1" customWidth="1"/>
    <col min="3090" max="3090" width="27.5703125" style="1" bestFit="1" customWidth="1"/>
    <col min="3091" max="3320" width="9.140625" style="1"/>
    <col min="3321" max="3321" width="31.5703125" style="1" bestFit="1" customWidth="1"/>
    <col min="3322" max="3322" width="15.28515625" style="1" bestFit="1" customWidth="1"/>
    <col min="3323" max="3325" width="15.28515625" style="1" customWidth="1"/>
    <col min="3326" max="3326" width="16" style="1" bestFit="1" customWidth="1"/>
    <col min="3327" max="3329" width="16.140625" style="1" customWidth="1"/>
    <col min="3330" max="3330" width="16.28515625" style="1" customWidth="1"/>
    <col min="3331" max="3331" width="14.7109375" style="1" bestFit="1" customWidth="1"/>
    <col min="3332" max="3332" width="15" style="1" bestFit="1" customWidth="1"/>
    <col min="3333" max="3333" width="16.85546875" style="1" customWidth="1"/>
    <col min="3334" max="3334" width="16" style="1" bestFit="1" customWidth="1"/>
    <col min="3335" max="3335" width="16.28515625" style="1" customWidth="1"/>
    <col min="3336" max="3336" width="15.28515625" style="1" bestFit="1" customWidth="1"/>
    <col min="3337" max="3337" width="10.28515625" style="1" bestFit="1" customWidth="1"/>
    <col min="3338" max="3338" width="18.5703125" style="1" bestFit="1" customWidth="1"/>
    <col min="3339" max="3339" width="14" style="1" bestFit="1" customWidth="1"/>
    <col min="3340" max="3340" width="11.85546875" style="1" bestFit="1" customWidth="1"/>
    <col min="3341" max="3341" width="25.85546875" style="1" bestFit="1" customWidth="1"/>
    <col min="3342" max="3342" width="17" style="1" bestFit="1" customWidth="1"/>
    <col min="3343" max="3343" width="12.42578125" style="1" bestFit="1" customWidth="1"/>
    <col min="3344" max="3344" width="16" style="1" bestFit="1" customWidth="1"/>
    <col min="3345" max="3345" width="10.42578125" style="1" bestFit="1" customWidth="1"/>
    <col min="3346" max="3346" width="27.5703125" style="1" bestFit="1" customWidth="1"/>
    <col min="3347" max="3576" width="9.140625" style="1"/>
    <col min="3577" max="3577" width="31.5703125" style="1" bestFit="1" customWidth="1"/>
    <col min="3578" max="3578" width="15.28515625" style="1" bestFit="1" customWidth="1"/>
    <col min="3579" max="3581" width="15.28515625" style="1" customWidth="1"/>
    <col min="3582" max="3582" width="16" style="1" bestFit="1" customWidth="1"/>
    <col min="3583" max="3585" width="16.140625" style="1" customWidth="1"/>
    <col min="3586" max="3586" width="16.28515625" style="1" customWidth="1"/>
    <col min="3587" max="3587" width="14.7109375" style="1" bestFit="1" customWidth="1"/>
    <col min="3588" max="3588" width="15" style="1" bestFit="1" customWidth="1"/>
    <col min="3589" max="3589" width="16.85546875" style="1" customWidth="1"/>
    <col min="3590" max="3590" width="16" style="1" bestFit="1" customWidth="1"/>
    <col min="3591" max="3591" width="16.28515625" style="1" customWidth="1"/>
    <col min="3592" max="3592" width="15.28515625" style="1" bestFit="1" customWidth="1"/>
    <col min="3593" max="3593" width="10.28515625" style="1" bestFit="1" customWidth="1"/>
    <col min="3594" max="3594" width="18.5703125" style="1" bestFit="1" customWidth="1"/>
    <col min="3595" max="3595" width="14" style="1" bestFit="1" customWidth="1"/>
    <col min="3596" max="3596" width="11.85546875" style="1" bestFit="1" customWidth="1"/>
    <col min="3597" max="3597" width="25.85546875" style="1" bestFit="1" customWidth="1"/>
    <col min="3598" max="3598" width="17" style="1" bestFit="1" customWidth="1"/>
    <col min="3599" max="3599" width="12.42578125" style="1" bestFit="1" customWidth="1"/>
    <col min="3600" max="3600" width="16" style="1" bestFit="1" customWidth="1"/>
    <col min="3601" max="3601" width="10.42578125" style="1" bestFit="1" customWidth="1"/>
    <col min="3602" max="3602" width="27.5703125" style="1" bestFit="1" customWidth="1"/>
    <col min="3603" max="3832" width="9.140625" style="1"/>
    <col min="3833" max="3833" width="31.5703125" style="1" bestFit="1" customWidth="1"/>
    <col min="3834" max="3834" width="15.28515625" style="1" bestFit="1" customWidth="1"/>
    <col min="3835" max="3837" width="15.28515625" style="1" customWidth="1"/>
    <col min="3838" max="3838" width="16" style="1" bestFit="1" customWidth="1"/>
    <col min="3839" max="3841" width="16.140625" style="1" customWidth="1"/>
    <col min="3842" max="3842" width="16.28515625" style="1" customWidth="1"/>
    <col min="3843" max="3843" width="14.7109375" style="1" bestFit="1" customWidth="1"/>
    <col min="3844" max="3844" width="15" style="1" bestFit="1" customWidth="1"/>
    <col min="3845" max="3845" width="16.85546875" style="1" customWidth="1"/>
    <col min="3846" max="3846" width="16" style="1" bestFit="1" customWidth="1"/>
    <col min="3847" max="3847" width="16.28515625" style="1" customWidth="1"/>
    <col min="3848" max="3848" width="15.28515625" style="1" bestFit="1" customWidth="1"/>
    <col min="3849" max="3849" width="10.28515625" style="1" bestFit="1" customWidth="1"/>
    <col min="3850" max="3850" width="18.5703125" style="1" bestFit="1" customWidth="1"/>
    <col min="3851" max="3851" width="14" style="1" bestFit="1" customWidth="1"/>
    <col min="3852" max="3852" width="11.85546875" style="1" bestFit="1" customWidth="1"/>
    <col min="3853" max="3853" width="25.85546875" style="1" bestFit="1" customWidth="1"/>
    <col min="3854" max="3854" width="17" style="1" bestFit="1" customWidth="1"/>
    <col min="3855" max="3855" width="12.42578125" style="1" bestFit="1" customWidth="1"/>
    <col min="3856" max="3856" width="16" style="1" bestFit="1" customWidth="1"/>
    <col min="3857" max="3857" width="10.42578125" style="1" bestFit="1" customWidth="1"/>
    <col min="3858" max="3858" width="27.5703125" style="1" bestFit="1" customWidth="1"/>
    <col min="3859" max="4088" width="9.140625" style="1"/>
    <col min="4089" max="4089" width="31.5703125" style="1" bestFit="1" customWidth="1"/>
    <col min="4090" max="4090" width="15.28515625" style="1" bestFit="1" customWidth="1"/>
    <col min="4091" max="4093" width="15.28515625" style="1" customWidth="1"/>
    <col min="4094" max="4094" width="16" style="1" bestFit="1" customWidth="1"/>
    <col min="4095" max="4097" width="16.140625" style="1" customWidth="1"/>
    <col min="4098" max="4098" width="16.28515625" style="1" customWidth="1"/>
    <col min="4099" max="4099" width="14.7109375" style="1" bestFit="1" customWidth="1"/>
    <col min="4100" max="4100" width="15" style="1" bestFit="1" customWidth="1"/>
    <col min="4101" max="4101" width="16.85546875" style="1" customWidth="1"/>
    <col min="4102" max="4102" width="16" style="1" bestFit="1" customWidth="1"/>
    <col min="4103" max="4103" width="16.28515625" style="1" customWidth="1"/>
    <col min="4104" max="4104" width="15.28515625" style="1" bestFit="1" customWidth="1"/>
    <col min="4105" max="4105" width="10.28515625" style="1" bestFit="1" customWidth="1"/>
    <col min="4106" max="4106" width="18.5703125" style="1" bestFit="1" customWidth="1"/>
    <col min="4107" max="4107" width="14" style="1" bestFit="1" customWidth="1"/>
    <col min="4108" max="4108" width="11.85546875" style="1" bestFit="1" customWidth="1"/>
    <col min="4109" max="4109" width="25.85546875" style="1" bestFit="1" customWidth="1"/>
    <col min="4110" max="4110" width="17" style="1" bestFit="1" customWidth="1"/>
    <col min="4111" max="4111" width="12.42578125" style="1" bestFit="1" customWidth="1"/>
    <col min="4112" max="4112" width="16" style="1" bestFit="1" customWidth="1"/>
    <col min="4113" max="4113" width="10.42578125" style="1" bestFit="1" customWidth="1"/>
    <col min="4114" max="4114" width="27.5703125" style="1" bestFit="1" customWidth="1"/>
    <col min="4115" max="4344" width="9.140625" style="1"/>
    <col min="4345" max="4345" width="31.5703125" style="1" bestFit="1" customWidth="1"/>
    <col min="4346" max="4346" width="15.28515625" style="1" bestFit="1" customWidth="1"/>
    <col min="4347" max="4349" width="15.28515625" style="1" customWidth="1"/>
    <col min="4350" max="4350" width="16" style="1" bestFit="1" customWidth="1"/>
    <col min="4351" max="4353" width="16.140625" style="1" customWidth="1"/>
    <col min="4354" max="4354" width="16.28515625" style="1" customWidth="1"/>
    <col min="4355" max="4355" width="14.7109375" style="1" bestFit="1" customWidth="1"/>
    <col min="4356" max="4356" width="15" style="1" bestFit="1" customWidth="1"/>
    <col min="4357" max="4357" width="16.85546875" style="1" customWidth="1"/>
    <col min="4358" max="4358" width="16" style="1" bestFit="1" customWidth="1"/>
    <col min="4359" max="4359" width="16.28515625" style="1" customWidth="1"/>
    <col min="4360" max="4360" width="15.28515625" style="1" bestFit="1" customWidth="1"/>
    <col min="4361" max="4361" width="10.28515625" style="1" bestFit="1" customWidth="1"/>
    <col min="4362" max="4362" width="18.5703125" style="1" bestFit="1" customWidth="1"/>
    <col min="4363" max="4363" width="14" style="1" bestFit="1" customWidth="1"/>
    <col min="4364" max="4364" width="11.85546875" style="1" bestFit="1" customWidth="1"/>
    <col min="4365" max="4365" width="25.85546875" style="1" bestFit="1" customWidth="1"/>
    <col min="4366" max="4366" width="17" style="1" bestFit="1" customWidth="1"/>
    <col min="4367" max="4367" width="12.42578125" style="1" bestFit="1" customWidth="1"/>
    <col min="4368" max="4368" width="16" style="1" bestFit="1" customWidth="1"/>
    <col min="4369" max="4369" width="10.42578125" style="1" bestFit="1" customWidth="1"/>
    <col min="4370" max="4370" width="27.5703125" style="1" bestFit="1" customWidth="1"/>
    <col min="4371" max="4600" width="9.140625" style="1"/>
    <col min="4601" max="4601" width="31.5703125" style="1" bestFit="1" customWidth="1"/>
    <col min="4602" max="4602" width="15.28515625" style="1" bestFit="1" customWidth="1"/>
    <col min="4603" max="4605" width="15.28515625" style="1" customWidth="1"/>
    <col min="4606" max="4606" width="16" style="1" bestFit="1" customWidth="1"/>
    <col min="4607" max="4609" width="16.140625" style="1" customWidth="1"/>
    <col min="4610" max="4610" width="16.28515625" style="1" customWidth="1"/>
    <col min="4611" max="4611" width="14.7109375" style="1" bestFit="1" customWidth="1"/>
    <col min="4612" max="4612" width="15" style="1" bestFit="1" customWidth="1"/>
    <col min="4613" max="4613" width="16.85546875" style="1" customWidth="1"/>
    <col min="4614" max="4614" width="16" style="1" bestFit="1" customWidth="1"/>
    <col min="4615" max="4615" width="16.28515625" style="1" customWidth="1"/>
    <col min="4616" max="4616" width="15.28515625" style="1" bestFit="1" customWidth="1"/>
    <col min="4617" max="4617" width="10.28515625" style="1" bestFit="1" customWidth="1"/>
    <col min="4618" max="4618" width="18.5703125" style="1" bestFit="1" customWidth="1"/>
    <col min="4619" max="4619" width="14" style="1" bestFit="1" customWidth="1"/>
    <col min="4620" max="4620" width="11.85546875" style="1" bestFit="1" customWidth="1"/>
    <col min="4621" max="4621" width="25.85546875" style="1" bestFit="1" customWidth="1"/>
    <col min="4622" max="4622" width="17" style="1" bestFit="1" customWidth="1"/>
    <col min="4623" max="4623" width="12.42578125" style="1" bestFit="1" customWidth="1"/>
    <col min="4624" max="4624" width="16" style="1" bestFit="1" customWidth="1"/>
    <col min="4625" max="4625" width="10.42578125" style="1" bestFit="1" customWidth="1"/>
    <col min="4626" max="4626" width="27.5703125" style="1" bestFit="1" customWidth="1"/>
    <col min="4627" max="4856" width="9.140625" style="1"/>
    <col min="4857" max="4857" width="31.5703125" style="1" bestFit="1" customWidth="1"/>
    <col min="4858" max="4858" width="15.28515625" style="1" bestFit="1" customWidth="1"/>
    <col min="4859" max="4861" width="15.28515625" style="1" customWidth="1"/>
    <col min="4862" max="4862" width="16" style="1" bestFit="1" customWidth="1"/>
    <col min="4863" max="4865" width="16.140625" style="1" customWidth="1"/>
    <col min="4866" max="4866" width="16.28515625" style="1" customWidth="1"/>
    <col min="4867" max="4867" width="14.7109375" style="1" bestFit="1" customWidth="1"/>
    <col min="4868" max="4868" width="15" style="1" bestFit="1" customWidth="1"/>
    <col min="4869" max="4869" width="16.85546875" style="1" customWidth="1"/>
    <col min="4870" max="4870" width="16" style="1" bestFit="1" customWidth="1"/>
    <col min="4871" max="4871" width="16.28515625" style="1" customWidth="1"/>
    <col min="4872" max="4872" width="15.28515625" style="1" bestFit="1" customWidth="1"/>
    <col min="4873" max="4873" width="10.28515625" style="1" bestFit="1" customWidth="1"/>
    <col min="4874" max="4874" width="18.5703125" style="1" bestFit="1" customWidth="1"/>
    <col min="4875" max="4875" width="14" style="1" bestFit="1" customWidth="1"/>
    <col min="4876" max="4876" width="11.85546875" style="1" bestFit="1" customWidth="1"/>
    <col min="4877" max="4877" width="25.85546875" style="1" bestFit="1" customWidth="1"/>
    <col min="4878" max="4878" width="17" style="1" bestFit="1" customWidth="1"/>
    <col min="4879" max="4879" width="12.42578125" style="1" bestFit="1" customWidth="1"/>
    <col min="4880" max="4880" width="16" style="1" bestFit="1" customWidth="1"/>
    <col min="4881" max="4881" width="10.42578125" style="1" bestFit="1" customWidth="1"/>
    <col min="4882" max="4882" width="27.5703125" style="1" bestFit="1" customWidth="1"/>
    <col min="4883" max="5112" width="9.140625" style="1"/>
    <col min="5113" max="5113" width="31.5703125" style="1" bestFit="1" customWidth="1"/>
    <col min="5114" max="5114" width="15.28515625" style="1" bestFit="1" customWidth="1"/>
    <col min="5115" max="5117" width="15.28515625" style="1" customWidth="1"/>
    <col min="5118" max="5118" width="16" style="1" bestFit="1" customWidth="1"/>
    <col min="5119" max="5121" width="16.140625" style="1" customWidth="1"/>
    <col min="5122" max="5122" width="16.28515625" style="1" customWidth="1"/>
    <col min="5123" max="5123" width="14.7109375" style="1" bestFit="1" customWidth="1"/>
    <col min="5124" max="5124" width="15" style="1" bestFit="1" customWidth="1"/>
    <col min="5125" max="5125" width="16.85546875" style="1" customWidth="1"/>
    <col min="5126" max="5126" width="16" style="1" bestFit="1" customWidth="1"/>
    <col min="5127" max="5127" width="16.28515625" style="1" customWidth="1"/>
    <col min="5128" max="5128" width="15.28515625" style="1" bestFit="1" customWidth="1"/>
    <col min="5129" max="5129" width="10.28515625" style="1" bestFit="1" customWidth="1"/>
    <col min="5130" max="5130" width="18.5703125" style="1" bestFit="1" customWidth="1"/>
    <col min="5131" max="5131" width="14" style="1" bestFit="1" customWidth="1"/>
    <col min="5132" max="5132" width="11.85546875" style="1" bestFit="1" customWidth="1"/>
    <col min="5133" max="5133" width="25.85546875" style="1" bestFit="1" customWidth="1"/>
    <col min="5134" max="5134" width="17" style="1" bestFit="1" customWidth="1"/>
    <col min="5135" max="5135" width="12.42578125" style="1" bestFit="1" customWidth="1"/>
    <col min="5136" max="5136" width="16" style="1" bestFit="1" customWidth="1"/>
    <col min="5137" max="5137" width="10.42578125" style="1" bestFit="1" customWidth="1"/>
    <col min="5138" max="5138" width="27.5703125" style="1" bestFit="1" customWidth="1"/>
    <col min="5139" max="5368" width="9.140625" style="1"/>
    <col min="5369" max="5369" width="31.5703125" style="1" bestFit="1" customWidth="1"/>
    <col min="5370" max="5370" width="15.28515625" style="1" bestFit="1" customWidth="1"/>
    <col min="5371" max="5373" width="15.28515625" style="1" customWidth="1"/>
    <col min="5374" max="5374" width="16" style="1" bestFit="1" customWidth="1"/>
    <col min="5375" max="5377" width="16.140625" style="1" customWidth="1"/>
    <col min="5378" max="5378" width="16.28515625" style="1" customWidth="1"/>
    <col min="5379" max="5379" width="14.7109375" style="1" bestFit="1" customWidth="1"/>
    <col min="5380" max="5380" width="15" style="1" bestFit="1" customWidth="1"/>
    <col min="5381" max="5381" width="16.85546875" style="1" customWidth="1"/>
    <col min="5382" max="5382" width="16" style="1" bestFit="1" customWidth="1"/>
    <col min="5383" max="5383" width="16.28515625" style="1" customWidth="1"/>
    <col min="5384" max="5384" width="15.28515625" style="1" bestFit="1" customWidth="1"/>
    <col min="5385" max="5385" width="10.28515625" style="1" bestFit="1" customWidth="1"/>
    <col min="5386" max="5386" width="18.5703125" style="1" bestFit="1" customWidth="1"/>
    <col min="5387" max="5387" width="14" style="1" bestFit="1" customWidth="1"/>
    <col min="5388" max="5388" width="11.85546875" style="1" bestFit="1" customWidth="1"/>
    <col min="5389" max="5389" width="25.85546875" style="1" bestFit="1" customWidth="1"/>
    <col min="5390" max="5390" width="17" style="1" bestFit="1" customWidth="1"/>
    <col min="5391" max="5391" width="12.42578125" style="1" bestFit="1" customWidth="1"/>
    <col min="5392" max="5392" width="16" style="1" bestFit="1" customWidth="1"/>
    <col min="5393" max="5393" width="10.42578125" style="1" bestFit="1" customWidth="1"/>
    <col min="5394" max="5394" width="27.5703125" style="1" bestFit="1" customWidth="1"/>
    <col min="5395" max="5624" width="9.140625" style="1"/>
    <col min="5625" max="5625" width="31.5703125" style="1" bestFit="1" customWidth="1"/>
    <col min="5626" max="5626" width="15.28515625" style="1" bestFit="1" customWidth="1"/>
    <col min="5627" max="5629" width="15.28515625" style="1" customWidth="1"/>
    <col min="5630" max="5630" width="16" style="1" bestFit="1" customWidth="1"/>
    <col min="5631" max="5633" width="16.140625" style="1" customWidth="1"/>
    <col min="5634" max="5634" width="16.28515625" style="1" customWidth="1"/>
    <col min="5635" max="5635" width="14.7109375" style="1" bestFit="1" customWidth="1"/>
    <col min="5636" max="5636" width="15" style="1" bestFit="1" customWidth="1"/>
    <col min="5637" max="5637" width="16.85546875" style="1" customWidth="1"/>
    <col min="5638" max="5638" width="16" style="1" bestFit="1" customWidth="1"/>
    <col min="5639" max="5639" width="16.28515625" style="1" customWidth="1"/>
    <col min="5640" max="5640" width="15.28515625" style="1" bestFit="1" customWidth="1"/>
    <col min="5641" max="5641" width="10.28515625" style="1" bestFit="1" customWidth="1"/>
    <col min="5642" max="5642" width="18.5703125" style="1" bestFit="1" customWidth="1"/>
    <col min="5643" max="5643" width="14" style="1" bestFit="1" customWidth="1"/>
    <col min="5644" max="5644" width="11.85546875" style="1" bestFit="1" customWidth="1"/>
    <col min="5645" max="5645" width="25.85546875" style="1" bestFit="1" customWidth="1"/>
    <col min="5646" max="5646" width="17" style="1" bestFit="1" customWidth="1"/>
    <col min="5647" max="5647" width="12.42578125" style="1" bestFit="1" customWidth="1"/>
    <col min="5648" max="5648" width="16" style="1" bestFit="1" customWidth="1"/>
    <col min="5649" max="5649" width="10.42578125" style="1" bestFit="1" customWidth="1"/>
    <col min="5650" max="5650" width="27.5703125" style="1" bestFit="1" customWidth="1"/>
    <col min="5651" max="5880" width="9.140625" style="1"/>
    <col min="5881" max="5881" width="31.5703125" style="1" bestFit="1" customWidth="1"/>
    <col min="5882" max="5882" width="15.28515625" style="1" bestFit="1" customWidth="1"/>
    <col min="5883" max="5885" width="15.28515625" style="1" customWidth="1"/>
    <col min="5886" max="5886" width="16" style="1" bestFit="1" customWidth="1"/>
    <col min="5887" max="5889" width="16.140625" style="1" customWidth="1"/>
    <col min="5890" max="5890" width="16.28515625" style="1" customWidth="1"/>
    <col min="5891" max="5891" width="14.7109375" style="1" bestFit="1" customWidth="1"/>
    <col min="5892" max="5892" width="15" style="1" bestFit="1" customWidth="1"/>
    <col min="5893" max="5893" width="16.85546875" style="1" customWidth="1"/>
    <col min="5894" max="5894" width="16" style="1" bestFit="1" customWidth="1"/>
    <col min="5895" max="5895" width="16.28515625" style="1" customWidth="1"/>
    <col min="5896" max="5896" width="15.28515625" style="1" bestFit="1" customWidth="1"/>
    <col min="5897" max="5897" width="10.28515625" style="1" bestFit="1" customWidth="1"/>
    <col min="5898" max="5898" width="18.5703125" style="1" bestFit="1" customWidth="1"/>
    <col min="5899" max="5899" width="14" style="1" bestFit="1" customWidth="1"/>
    <col min="5900" max="5900" width="11.85546875" style="1" bestFit="1" customWidth="1"/>
    <col min="5901" max="5901" width="25.85546875" style="1" bestFit="1" customWidth="1"/>
    <col min="5902" max="5902" width="17" style="1" bestFit="1" customWidth="1"/>
    <col min="5903" max="5903" width="12.42578125" style="1" bestFit="1" customWidth="1"/>
    <col min="5904" max="5904" width="16" style="1" bestFit="1" customWidth="1"/>
    <col min="5905" max="5905" width="10.42578125" style="1" bestFit="1" customWidth="1"/>
    <col min="5906" max="5906" width="27.5703125" style="1" bestFit="1" customWidth="1"/>
    <col min="5907" max="6136" width="9.140625" style="1"/>
    <col min="6137" max="6137" width="31.5703125" style="1" bestFit="1" customWidth="1"/>
    <col min="6138" max="6138" width="15.28515625" style="1" bestFit="1" customWidth="1"/>
    <col min="6139" max="6141" width="15.28515625" style="1" customWidth="1"/>
    <col min="6142" max="6142" width="16" style="1" bestFit="1" customWidth="1"/>
    <col min="6143" max="6145" width="16.140625" style="1" customWidth="1"/>
    <col min="6146" max="6146" width="16.28515625" style="1" customWidth="1"/>
    <col min="6147" max="6147" width="14.7109375" style="1" bestFit="1" customWidth="1"/>
    <col min="6148" max="6148" width="15" style="1" bestFit="1" customWidth="1"/>
    <col min="6149" max="6149" width="16.85546875" style="1" customWidth="1"/>
    <col min="6150" max="6150" width="16" style="1" bestFit="1" customWidth="1"/>
    <col min="6151" max="6151" width="16.28515625" style="1" customWidth="1"/>
    <col min="6152" max="6152" width="15.28515625" style="1" bestFit="1" customWidth="1"/>
    <col min="6153" max="6153" width="10.28515625" style="1" bestFit="1" customWidth="1"/>
    <col min="6154" max="6154" width="18.5703125" style="1" bestFit="1" customWidth="1"/>
    <col min="6155" max="6155" width="14" style="1" bestFit="1" customWidth="1"/>
    <col min="6156" max="6156" width="11.85546875" style="1" bestFit="1" customWidth="1"/>
    <col min="6157" max="6157" width="25.85546875" style="1" bestFit="1" customWidth="1"/>
    <col min="6158" max="6158" width="17" style="1" bestFit="1" customWidth="1"/>
    <col min="6159" max="6159" width="12.42578125" style="1" bestFit="1" customWidth="1"/>
    <col min="6160" max="6160" width="16" style="1" bestFit="1" customWidth="1"/>
    <col min="6161" max="6161" width="10.42578125" style="1" bestFit="1" customWidth="1"/>
    <col min="6162" max="6162" width="27.5703125" style="1" bestFit="1" customWidth="1"/>
    <col min="6163" max="6392" width="9.140625" style="1"/>
    <col min="6393" max="6393" width="31.5703125" style="1" bestFit="1" customWidth="1"/>
    <col min="6394" max="6394" width="15.28515625" style="1" bestFit="1" customWidth="1"/>
    <col min="6395" max="6397" width="15.28515625" style="1" customWidth="1"/>
    <col min="6398" max="6398" width="16" style="1" bestFit="1" customWidth="1"/>
    <col min="6399" max="6401" width="16.140625" style="1" customWidth="1"/>
    <col min="6402" max="6402" width="16.28515625" style="1" customWidth="1"/>
    <col min="6403" max="6403" width="14.7109375" style="1" bestFit="1" customWidth="1"/>
    <col min="6404" max="6404" width="15" style="1" bestFit="1" customWidth="1"/>
    <col min="6405" max="6405" width="16.85546875" style="1" customWidth="1"/>
    <col min="6406" max="6406" width="16" style="1" bestFit="1" customWidth="1"/>
    <col min="6407" max="6407" width="16.28515625" style="1" customWidth="1"/>
    <col min="6408" max="6408" width="15.28515625" style="1" bestFit="1" customWidth="1"/>
    <col min="6409" max="6409" width="10.28515625" style="1" bestFit="1" customWidth="1"/>
    <col min="6410" max="6410" width="18.5703125" style="1" bestFit="1" customWidth="1"/>
    <col min="6411" max="6411" width="14" style="1" bestFit="1" customWidth="1"/>
    <col min="6412" max="6412" width="11.85546875" style="1" bestFit="1" customWidth="1"/>
    <col min="6413" max="6413" width="25.85546875" style="1" bestFit="1" customWidth="1"/>
    <col min="6414" max="6414" width="17" style="1" bestFit="1" customWidth="1"/>
    <col min="6415" max="6415" width="12.42578125" style="1" bestFit="1" customWidth="1"/>
    <col min="6416" max="6416" width="16" style="1" bestFit="1" customWidth="1"/>
    <col min="6417" max="6417" width="10.42578125" style="1" bestFit="1" customWidth="1"/>
    <col min="6418" max="6418" width="27.5703125" style="1" bestFit="1" customWidth="1"/>
    <col min="6419" max="6648" width="9.140625" style="1"/>
    <col min="6649" max="6649" width="31.5703125" style="1" bestFit="1" customWidth="1"/>
    <col min="6650" max="6650" width="15.28515625" style="1" bestFit="1" customWidth="1"/>
    <col min="6651" max="6653" width="15.28515625" style="1" customWidth="1"/>
    <col min="6654" max="6654" width="16" style="1" bestFit="1" customWidth="1"/>
    <col min="6655" max="6657" width="16.140625" style="1" customWidth="1"/>
    <col min="6658" max="6658" width="16.28515625" style="1" customWidth="1"/>
    <col min="6659" max="6659" width="14.7109375" style="1" bestFit="1" customWidth="1"/>
    <col min="6660" max="6660" width="15" style="1" bestFit="1" customWidth="1"/>
    <col min="6661" max="6661" width="16.85546875" style="1" customWidth="1"/>
    <col min="6662" max="6662" width="16" style="1" bestFit="1" customWidth="1"/>
    <col min="6663" max="6663" width="16.28515625" style="1" customWidth="1"/>
    <col min="6664" max="6664" width="15.28515625" style="1" bestFit="1" customWidth="1"/>
    <col min="6665" max="6665" width="10.28515625" style="1" bestFit="1" customWidth="1"/>
    <col min="6666" max="6666" width="18.5703125" style="1" bestFit="1" customWidth="1"/>
    <col min="6667" max="6667" width="14" style="1" bestFit="1" customWidth="1"/>
    <col min="6668" max="6668" width="11.85546875" style="1" bestFit="1" customWidth="1"/>
    <col min="6669" max="6669" width="25.85546875" style="1" bestFit="1" customWidth="1"/>
    <col min="6670" max="6670" width="17" style="1" bestFit="1" customWidth="1"/>
    <col min="6671" max="6671" width="12.42578125" style="1" bestFit="1" customWidth="1"/>
    <col min="6672" max="6672" width="16" style="1" bestFit="1" customWidth="1"/>
    <col min="6673" max="6673" width="10.42578125" style="1" bestFit="1" customWidth="1"/>
    <col min="6674" max="6674" width="27.5703125" style="1" bestFit="1" customWidth="1"/>
    <col min="6675" max="6904" width="9.140625" style="1"/>
    <col min="6905" max="6905" width="31.5703125" style="1" bestFit="1" customWidth="1"/>
    <col min="6906" max="6906" width="15.28515625" style="1" bestFit="1" customWidth="1"/>
    <col min="6907" max="6909" width="15.28515625" style="1" customWidth="1"/>
    <col min="6910" max="6910" width="16" style="1" bestFit="1" customWidth="1"/>
    <col min="6911" max="6913" width="16.140625" style="1" customWidth="1"/>
    <col min="6914" max="6914" width="16.28515625" style="1" customWidth="1"/>
    <col min="6915" max="6915" width="14.7109375" style="1" bestFit="1" customWidth="1"/>
    <col min="6916" max="6916" width="15" style="1" bestFit="1" customWidth="1"/>
    <col min="6917" max="6917" width="16.85546875" style="1" customWidth="1"/>
    <col min="6918" max="6918" width="16" style="1" bestFit="1" customWidth="1"/>
    <col min="6919" max="6919" width="16.28515625" style="1" customWidth="1"/>
    <col min="6920" max="6920" width="15.28515625" style="1" bestFit="1" customWidth="1"/>
    <col min="6921" max="6921" width="10.28515625" style="1" bestFit="1" customWidth="1"/>
    <col min="6922" max="6922" width="18.5703125" style="1" bestFit="1" customWidth="1"/>
    <col min="6923" max="6923" width="14" style="1" bestFit="1" customWidth="1"/>
    <col min="6924" max="6924" width="11.85546875" style="1" bestFit="1" customWidth="1"/>
    <col min="6925" max="6925" width="25.85546875" style="1" bestFit="1" customWidth="1"/>
    <col min="6926" max="6926" width="17" style="1" bestFit="1" customWidth="1"/>
    <col min="6927" max="6927" width="12.42578125" style="1" bestFit="1" customWidth="1"/>
    <col min="6928" max="6928" width="16" style="1" bestFit="1" customWidth="1"/>
    <col min="6929" max="6929" width="10.42578125" style="1" bestFit="1" customWidth="1"/>
    <col min="6930" max="6930" width="27.5703125" style="1" bestFit="1" customWidth="1"/>
    <col min="6931" max="7160" width="9.140625" style="1"/>
    <col min="7161" max="7161" width="31.5703125" style="1" bestFit="1" customWidth="1"/>
    <col min="7162" max="7162" width="15.28515625" style="1" bestFit="1" customWidth="1"/>
    <col min="7163" max="7165" width="15.28515625" style="1" customWidth="1"/>
    <col min="7166" max="7166" width="16" style="1" bestFit="1" customWidth="1"/>
    <col min="7167" max="7169" width="16.140625" style="1" customWidth="1"/>
    <col min="7170" max="7170" width="16.28515625" style="1" customWidth="1"/>
    <col min="7171" max="7171" width="14.7109375" style="1" bestFit="1" customWidth="1"/>
    <col min="7172" max="7172" width="15" style="1" bestFit="1" customWidth="1"/>
    <col min="7173" max="7173" width="16.85546875" style="1" customWidth="1"/>
    <col min="7174" max="7174" width="16" style="1" bestFit="1" customWidth="1"/>
    <col min="7175" max="7175" width="16.28515625" style="1" customWidth="1"/>
    <col min="7176" max="7176" width="15.28515625" style="1" bestFit="1" customWidth="1"/>
    <col min="7177" max="7177" width="10.28515625" style="1" bestFit="1" customWidth="1"/>
    <col min="7178" max="7178" width="18.5703125" style="1" bestFit="1" customWidth="1"/>
    <col min="7179" max="7179" width="14" style="1" bestFit="1" customWidth="1"/>
    <col min="7180" max="7180" width="11.85546875" style="1" bestFit="1" customWidth="1"/>
    <col min="7181" max="7181" width="25.85546875" style="1" bestFit="1" customWidth="1"/>
    <col min="7182" max="7182" width="17" style="1" bestFit="1" customWidth="1"/>
    <col min="7183" max="7183" width="12.42578125" style="1" bestFit="1" customWidth="1"/>
    <col min="7184" max="7184" width="16" style="1" bestFit="1" customWidth="1"/>
    <col min="7185" max="7185" width="10.42578125" style="1" bestFit="1" customWidth="1"/>
    <col min="7186" max="7186" width="27.5703125" style="1" bestFit="1" customWidth="1"/>
    <col min="7187" max="7416" width="9.140625" style="1"/>
    <col min="7417" max="7417" width="31.5703125" style="1" bestFit="1" customWidth="1"/>
    <col min="7418" max="7418" width="15.28515625" style="1" bestFit="1" customWidth="1"/>
    <col min="7419" max="7421" width="15.28515625" style="1" customWidth="1"/>
    <col min="7422" max="7422" width="16" style="1" bestFit="1" customWidth="1"/>
    <col min="7423" max="7425" width="16.140625" style="1" customWidth="1"/>
    <col min="7426" max="7426" width="16.28515625" style="1" customWidth="1"/>
    <col min="7427" max="7427" width="14.7109375" style="1" bestFit="1" customWidth="1"/>
    <col min="7428" max="7428" width="15" style="1" bestFit="1" customWidth="1"/>
    <col min="7429" max="7429" width="16.85546875" style="1" customWidth="1"/>
    <col min="7430" max="7430" width="16" style="1" bestFit="1" customWidth="1"/>
    <col min="7431" max="7431" width="16.28515625" style="1" customWidth="1"/>
    <col min="7432" max="7432" width="15.28515625" style="1" bestFit="1" customWidth="1"/>
    <col min="7433" max="7433" width="10.28515625" style="1" bestFit="1" customWidth="1"/>
    <col min="7434" max="7434" width="18.5703125" style="1" bestFit="1" customWidth="1"/>
    <col min="7435" max="7435" width="14" style="1" bestFit="1" customWidth="1"/>
    <col min="7436" max="7436" width="11.85546875" style="1" bestFit="1" customWidth="1"/>
    <col min="7437" max="7437" width="25.85546875" style="1" bestFit="1" customWidth="1"/>
    <col min="7438" max="7438" width="17" style="1" bestFit="1" customWidth="1"/>
    <col min="7439" max="7439" width="12.42578125" style="1" bestFit="1" customWidth="1"/>
    <col min="7440" max="7440" width="16" style="1" bestFit="1" customWidth="1"/>
    <col min="7441" max="7441" width="10.42578125" style="1" bestFit="1" customWidth="1"/>
    <col min="7442" max="7442" width="27.5703125" style="1" bestFit="1" customWidth="1"/>
    <col min="7443" max="7672" width="9.140625" style="1"/>
    <col min="7673" max="7673" width="31.5703125" style="1" bestFit="1" customWidth="1"/>
    <col min="7674" max="7674" width="15.28515625" style="1" bestFit="1" customWidth="1"/>
    <col min="7675" max="7677" width="15.28515625" style="1" customWidth="1"/>
    <col min="7678" max="7678" width="16" style="1" bestFit="1" customWidth="1"/>
    <col min="7679" max="7681" width="16.140625" style="1" customWidth="1"/>
    <col min="7682" max="7682" width="16.28515625" style="1" customWidth="1"/>
    <col min="7683" max="7683" width="14.7109375" style="1" bestFit="1" customWidth="1"/>
    <col min="7684" max="7684" width="15" style="1" bestFit="1" customWidth="1"/>
    <col min="7685" max="7685" width="16.85546875" style="1" customWidth="1"/>
    <col min="7686" max="7686" width="16" style="1" bestFit="1" customWidth="1"/>
    <col min="7687" max="7687" width="16.28515625" style="1" customWidth="1"/>
    <col min="7688" max="7688" width="15.28515625" style="1" bestFit="1" customWidth="1"/>
    <col min="7689" max="7689" width="10.28515625" style="1" bestFit="1" customWidth="1"/>
    <col min="7690" max="7690" width="18.5703125" style="1" bestFit="1" customWidth="1"/>
    <col min="7691" max="7691" width="14" style="1" bestFit="1" customWidth="1"/>
    <col min="7692" max="7692" width="11.85546875" style="1" bestFit="1" customWidth="1"/>
    <col min="7693" max="7693" width="25.85546875" style="1" bestFit="1" customWidth="1"/>
    <col min="7694" max="7694" width="17" style="1" bestFit="1" customWidth="1"/>
    <col min="7695" max="7695" width="12.42578125" style="1" bestFit="1" customWidth="1"/>
    <col min="7696" max="7696" width="16" style="1" bestFit="1" customWidth="1"/>
    <col min="7697" max="7697" width="10.42578125" style="1" bestFit="1" customWidth="1"/>
    <col min="7698" max="7698" width="27.5703125" style="1" bestFit="1" customWidth="1"/>
    <col min="7699" max="7928" width="9.140625" style="1"/>
    <col min="7929" max="7929" width="31.5703125" style="1" bestFit="1" customWidth="1"/>
    <col min="7930" max="7930" width="15.28515625" style="1" bestFit="1" customWidth="1"/>
    <col min="7931" max="7933" width="15.28515625" style="1" customWidth="1"/>
    <col min="7934" max="7934" width="16" style="1" bestFit="1" customWidth="1"/>
    <col min="7935" max="7937" width="16.140625" style="1" customWidth="1"/>
    <col min="7938" max="7938" width="16.28515625" style="1" customWidth="1"/>
    <col min="7939" max="7939" width="14.7109375" style="1" bestFit="1" customWidth="1"/>
    <col min="7940" max="7940" width="15" style="1" bestFit="1" customWidth="1"/>
    <col min="7941" max="7941" width="16.85546875" style="1" customWidth="1"/>
    <col min="7942" max="7942" width="16" style="1" bestFit="1" customWidth="1"/>
    <col min="7943" max="7943" width="16.28515625" style="1" customWidth="1"/>
    <col min="7944" max="7944" width="15.28515625" style="1" bestFit="1" customWidth="1"/>
    <col min="7945" max="7945" width="10.28515625" style="1" bestFit="1" customWidth="1"/>
    <col min="7946" max="7946" width="18.5703125" style="1" bestFit="1" customWidth="1"/>
    <col min="7947" max="7947" width="14" style="1" bestFit="1" customWidth="1"/>
    <col min="7948" max="7948" width="11.85546875" style="1" bestFit="1" customWidth="1"/>
    <col min="7949" max="7949" width="25.85546875" style="1" bestFit="1" customWidth="1"/>
    <col min="7950" max="7950" width="17" style="1" bestFit="1" customWidth="1"/>
    <col min="7951" max="7951" width="12.42578125" style="1" bestFit="1" customWidth="1"/>
    <col min="7952" max="7952" width="16" style="1" bestFit="1" customWidth="1"/>
    <col min="7953" max="7953" width="10.42578125" style="1" bestFit="1" customWidth="1"/>
    <col min="7954" max="7954" width="27.5703125" style="1" bestFit="1" customWidth="1"/>
    <col min="7955" max="8184" width="9.140625" style="1"/>
    <col min="8185" max="8185" width="31.5703125" style="1" bestFit="1" customWidth="1"/>
    <col min="8186" max="8186" width="15.28515625" style="1" bestFit="1" customWidth="1"/>
    <col min="8187" max="8189" width="15.28515625" style="1" customWidth="1"/>
    <col min="8190" max="8190" width="16" style="1" bestFit="1" customWidth="1"/>
    <col min="8191" max="8193" width="16.140625" style="1" customWidth="1"/>
    <col min="8194" max="8194" width="16.28515625" style="1" customWidth="1"/>
    <col min="8195" max="8195" width="14.7109375" style="1" bestFit="1" customWidth="1"/>
    <col min="8196" max="8196" width="15" style="1" bestFit="1" customWidth="1"/>
    <col min="8197" max="8197" width="16.85546875" style="1" customWidth="1"/>
    <col min="8198" max="8198" width="16" style="1" bestFit="1" customWidth="1"/>
    <col min="8199" max="8199" width="16.28515625" style="1" customWidth="1"/>
    <col min="8200" max="8200" width="15.28515625" style="1" bestFit="1" customWidth="1"/>
    <col min="8201" max="8201" width="10.28515625" style="1" bestFit="1" customWidth="1"/>
    <col min="8202" max="8202" width="18.5703125" style="1" bestFit="1" customWidth="1"/>
    <col min="8203" max="8203" width="14" style="1" bestFit="1" customWidth="1"/>
    <col min="8204" max="8204" width="11.85546875" style="1" bestFit="1" customWidth="1"/>
    <col min="8205" max="8205" width="25.85546875" style="1" bestFit="1" customWidth="1"/>
    <col min="8206" max="8206" width="17" style="1" bestFit="1" customWidth="1"/>
    <col min="8207" max="8207" width="12.42578125" style="1" bestFit="1" customWidth="1"/>
    <col min="8208" max="8208" width="16" style="1" bestFit="1" customWidth="1"/>
    <col min="8209" max="8209" width="10.42578125" style="1" bestFit="1" customWidth="1"/>
    <col min="8210" max="8210" width="27.5703125" style="1" bestFit="1" customWidth="1"/>
    <col min="8211" max="8440" width="9.140625" style="1"/>
    <col min="8441" max="8441" width="31.5703125" style="1" bestFit="1" customWidth="1"/>
    <col min="8442" max="8442" width="15.28515625" style="1" bestFit="1" customWidth="1"/>
    <col min="8443" max="8445" width="15.28515625" style="1" customWidth="1"/>
    <col min="8446" max="8446" width="16" style="1" bestFit="1" customWidth="1"/>
    <col min="8447" max="8449" width="16.140625" style="1" customWidth="1"/>
    <col min="8450" max="8450" width="16.28515625" style="1" customWidth="1"/>
    <col min="8451" max="8451" width="14.7109375" style="1" bestFit="1" customWidth="1"/>
    <col min="8452" max="8452" width="15" style="1" bestFit="1" customWidth="1"/>
    <col min="8453" max="8453" width="16.85546875" style="1" customWidth="1"/>
    <col min="8454" max="8454" width="16" style="1" bestFit="1" customWidth="1"/>
    <col min="8455" max="8455" width="16.28515625" style="1" customWidth="1"/>
    <col min="8456" max="8456" width="15.28515625" style="1" bestFit="1" customWidth="1"/>
    <col min="8457" max="8457" width="10.28515625" style="1" bestFit="1" customWidth="1"/>
    <col min="8458" max="8458" width="18.5703125" style="1" bestFit="1" customWidth="1"/>
    <col min="8459" max="8459" width="14" style="1" bestFit="1" customWidth="1"/>
    <col min="8460" max="8460" width="11.85546875" style="1" bestFit="1" customWidth="1"/>
    <col min="8461" max="8461" width="25.85546875" style="1" bestFit="1" customWidth="1"/>
    <col min="8462" max="8462" width="17" style="1" bestFit="1" customWidth="1"/>
    <col min="8463" max="8463" width="12.42578125" style="1" bestFit="1" customWidth="1"/>
    <col min="8464" max="8464" width="16" style="1" bestFit="1" customWidth="1"/>
    <col min="8465" max="8465" width="10.42578125" style="1" bestFit="1" customWidth="1"/>
    <col min="8466" max="8466" width="27.5703125" style="1" bestFit="1" customWidth="1"/>
    <col min="8467" max="8696" width="9.140625" style="1"/>
    <col min="8697" max="8697" width="31.5703125" style="1" bestFit="1" customWidth="1"/>
    <col min="8698" max="8698" width="15.28515625" style="1" bestFit="1" customWidth="1"/>
    <col min="8699" max="8701" width="15.28515625" style="1" customWidth="1"/>
    <col min="8702" max="8702" width="16" style="1" bestFit="1" customWidth="1"/>
    <col min="8703" max="8705" width="16.140625" style="1" customWidth="1"/>
    <col min="8706" max="8706" width="16.28515625" style="1" customWidth="1"/>
    <col min="8707" max="8707" width="14.7109375" style="1" bestFit="1" customWidth="1"/>
    <col min="8708" max="8708" width="15" style="1" bestFit="1" customWidth="1"/>
    <col min="8709" max="8709" width="16.85546875" style="1" customWidth="1"/>
    <col min="8710" max="8710" width="16" style="1" bestFit="1" customWidth="1"/>
    <col min="8711" max="8711" width="16.28515625" style="1" customWidth="1"/>
    <col min="8712" max="8712" width="15.28515625" style="1" bestFit="1" customWidth="1"/>
    <col min="8713" max="8713" width="10.28515625" style="1" bestFit="1" customWidth="1"/>
    <col min="8714" max="8714" width="18.5703125" style="1" bestFit="1" customWidth="1"/>
    <col min="8715" max="8715" width="14" style="1" bestFit="1" customWidth="1"/>
    <col min="8716" max="8716" width="11.85546875" style="1" bestFit="1" customWidth="1"/>
    <col min="8717" max="8717" width="25.85546875" style="1" bestFit="1" customWidth="1"/>
    <col min="8718" max="8718" width="17" style="1" bestFit="1" customWidth="1"/>
    <col min="8719" max="8719" width="12.42578125" style="1" bestFit="1" customWidth="1"/>
    <col min="8720" max="8720" width="16" style="1" bestFit="1" customWidth="1"/>
    <col min="8721" max="8721" width="10.42578125" style="1" bestFit="1" customWidth="1"/>
    <col min="8722" max="8722" width="27.5703125" style="1" bestFit="1" customWidth="1"/>
    <col min="8723" max="8952" width="9.140625" style="1"/>
    <col min="8953" max="8953" width="31.5703125" style="1" bestFit="1" customWidth="1"/>
    <col min="8954" max="8954" width="15.28515625" style="1" bestFit="1" customWidth="1"/>
    <col min="8955" max="8957" width="15.28515625" style="1" customWidth="1"/>
    <col min="8958" max="8958" width="16" style="1" bestFit="1" customWidth="1"/>
    <col min="8959" max="8961" width="16.140625" style="1" customWidth="1"/>
    <col min="8962" max="8962" width="16.28515625" style="1" customWidth="1"/>
    <col min="8963" max="8963" width="14.7109375" style="1" bestFit="1" customWidth="1"/>
    <col min="8964" max="8964" width="15" style="1" bestFit="1" customWidth="1"/>
    <col min="8965" max="8965" width="16.85546875" style="1" customWidth="1"/>
    <col min="8966" max="8966" width="16" style="1" bestFit="1" customWidth="1"/>
    <col min="8967" max="8967" width="16.28515625" style="1" customWidth="1"/>
    <col min="8968" max="8968" width="15.28515625" style="1" bestFit="1" customWidth="1"/>
    <col min="8969" max="8969" width="10.28515625" style="1" bestFit="1" customWidth="1"/>
    <col min="8970" max="8970" width="18.5703125" style="1" bestFit="1" customWidth="1"/>
    <col min="8971" max="8971" width="14" style="1" bestFit="1" customWidth="1"/>
    <col min="8972" max="8972" width="11.85546875" style="1" bestFit="1" customWidth="1"/>
    <col min="8973" max="8973" width="25.85546875" style="1" bestFit="1" customWidth="1"/>
    <col min="8974" max="8974" width="17" style="1" bestFit="1" customWidth="1"/>
    <col min="8975" max="8975" width="12.42578125" style="1" bestFit="1" customWidth="1"/>
    <col min="8976" max="8976" width="16" style="1" bestFit="1" customWidth="1"/>
    <col min="8977" max="8977" width="10.42578125" style="1" bestFit="1" customWidth="1"/>
    <col min="8978" max="8978" width="27.5703125" style="1" bestFit="1" customWidth="1"/>
    <col min="8979" max="9208" width="9.140625" style="1"/>
    <col min="9209" max="9209" width="31.5703125" style="1" bestFit="1" customWidth="1"/>
    <col min="9210" max="9210" width="15.28515625" style="1" bestFit="1" customWidth="1"/>
    <col min="9211" max="9213" width="15.28515625" style="1" customWidth="1"/>
    <col min="9214" max="9214" width="16" style="1" bestFit="1" customWidth="1"/>
    <col min="9215" max="9217" width="16.140625" style="1" customWidth="1"/>
    <col min="9218" max="9218" width="16.28515625" style="1" customWidth="1"/>
    <col min="9219" max="9219" width="14.7109375" style="1" bestFit="1" customWidth="1"/>
    <col min="9220" max="9220" width="15" style="1" bestFit="1" customWidth="1"/>
    <col min="9221" max="9221" width="16.85546875" style="1" customWidth="1"/>
    <col min="9222" max="9222" width="16" style="1" bestFit="1" customWidth="1"/>
    <col min="9223" max="9223" width="16.28515625" style="1" customWidth="1"/>
    <col min="9224" max="9224" width="15.28515625" style="1" bestFit="1" customWidth="1"/>
    <col min="9225" max="9225" width="10.28515625" style="1" bestFit="1" customWidth="1"/>
    <col min="9226" max="9226" width="18.5703125" style="1" bestFit="1" customWidth="1"/>
    <col min="9227" max="9227" width="14" style="1" bestFit="1" customWidth="1"/>
    <col min="9228" max="9228" width="11.85546875" style="1" bestFit="1" customWidth="1"/>
    <col min="9229" max="9229" width="25.85546875" style="1" bestFit="1" customWidth="1"/>
    <col min="9230" max="9230" width="17" style="1" bestFit="1" customWidth="1"/>
    <col min="9231" max="9231" width="12.42578125" style="1" bestFit="1" customWidth="1"/>
    <col min="9232" max="9232" width="16" style="1" bestFit="1" customWidth="1"/>
    <col min="9233" max="9233" width="10.42578125" style="1" bestFit="1" customWidth="1"/>
    <col min="9234" max="9234" width="27.5703125" style="1" bestFit="1" customWidth="1"/>
    <col min="9235" max="9464" width="9.140625" style="1"/>
    <col min="9465" max="9465" width="31.5703125" style="1" bestFit="1" customWidth="1"/>
    <col min="9466" max="9466" width="15.28515625" style="1" bestFit="1" customWidth="1"/>
    <col min="9467" max="9469" width="15.28515625" style="1" customWidth="1"/>
    <col min="9470" max="9470" width="16" style="1" bestFit="1" customWidth="1"/>
    <col min="9471" max="9473" width="16.140625" style="1" customWidth="1"/>
    <col min="9474" max="9474" width="16.28515625" style="1" customWidth="1"/>
    <col min="9475" max="9475" width="14.7109375" style="1" bestFit="1" customWidth="1"/>
    <col min="9476" max="9476" width="15" style="1" bestFit="1" customWidth="1"/>
    <col min="9477" max="9477" width="16.85546875" style="1" customWidth="1"/>
    <col min="9478" max="9478" width="16" style="1" bestFit="1" customWidth="1"/>
    <col min="9479" max="9479" width="16.28515625" style="1" customWidth="1"/>
    <col min="9480" max="9480" width="15.28515625" style="1" bestFit="1" customWidth="1"/>
    <col min="9481" max="9481" width="10.28515625" style="1" bestFit="1" customWidth="1"/>
    <col min="9482" max="9482" width="18.5703125" style="1" bestFit="1" customWidth="1"/>
    <col min="9483" max="9483" width="14" style="1" bestFit="1" customWidth="1"/>
    <col min="9484" max="9484" width="11.85546875" style="1" bestFit="1" customWidth="1"/>
    <col min="9485" max="9485" width="25.85546875" style="1" bestFit="1" customWidth="1"/>
    <col min="9486" max="9486" width="17" style="1" bestFit="1" customWidth="1"/>
    <col min="9487" max="9487" width="12.42578125" style="1" bestFit="1" customWidth="1"/>
    <col min="9488" max="9488" width="16" style="1" bestFit="1" customWidth="1"/>
    <col min="9489" max="9489" width="10.42578125" style="1" bestFit="1" customWidth="1"/>
    <col min="9490" max="9490" width="27.5703125" style="1" bestFit="1" customWidth="1"/>
    <col min="9491" max="9720" width="9.140625" style="1"/>
    <col min="9721" max="9721" width="31.5703125" style="1" bestFit="1" customWidth="1"/>
    <col min="9722" max="9722" width="15.28515625" style="1" bestFit="1" customWidth="1"/>
    <col min="9723" max="9725" width="15.28515625" style="1" customWidth="1"/>
    <col min="9726" max="9726" width="16" style="1" bestFit="1" customWidth="1"/>
    <col min="9727" max="9729" width="16.140625" style="1" customWidth="1"/>
    <col min="9730" max="9730" width="16.28515625" style="1" customWidth="1"/>
    <col min="9731" max="9731" width="14.7109375" style="1" bestFit="1" customWidth="1"/>
    <col min="9732" max="9732" width="15" style="1" bestFit="1" customWidth="1"/>
    <col min="9733" max="9733" width="16.85546875" style="1" customWidth="1"/>
    <col min="9734" max="9734" width="16" style="1" bestFit="1" customWidth="1"/>
    <col min="9735" max="9735" width="16.28515625" style="1" customWidth="1"/>
    <col min="9736" max="9736" width="15.28515625" style="1" bestFit="1" customWidth="1"/>
    <col min="9737" max="9737" width="10.28515625" style="1" bestFit="1" customWidth="1"/>
    <col min="9738" max="9738" width="18.5703125" style="1" bestFit="1" customWidth="1"/>
    <col min="9739" max="9739" width="14" style="1" bestFit="1" customWidth="1"/>
    <col min="9740" max="9740" width="11.85546875" style="1" bestFit="1" customWidth="1"/>
    <col min="9741" max="9741" width="25.85546875" style="1" bestFit="1" customWidth="1"/>
    <col min="9742" max="9742" width="17" style="1" bestFit="1" customWidth="1"/>
    <col min="9743" max="9743" width="12.42578125" style="1" bestFit="1" customWidth="1"/>
    <col min="9744" max="9744" width="16" style="1" bestFit="1" customWidth="1"/>
    <col min="9745" max="9745" width="10.42578125" style="1" bestFit="1" customWidth="1"/>
    <col min="9746" max="9746" width="27.5703125" style="1" bestFit="1" customWidth="1"/>
    <col min="9747" max="9976" width="9.140625" style="1"/>
    <col min="9977" max="9977" width="31.5703125" style="1" bestFit="1" customWidth="1"/>
    <col min="9978" max="9978" width="15.28515625" style="1" bestFit="1" customWidth="1"/>
    <col min="9979" max="9981" width="15.28515625" style="1" customWidth="1"/>
    <col min="9982" max="9982" width="16" style="1" bestFit="1" customWidth="1"/>
    <col min="9983" max="9985" width="16.140625" style="1" customWidth="1"/>
    <col min="9986" max="9986" width="16.28515625" style="1" customWidth="1"/>
    <col min="9987" max="9987" width="14.7109375" style="1" bestFit="1" customWidth="1"/>
    <col min="9988" max="9988" width="15" style="1" bestFit="1" customWidth="1"/>
    <col min="9989" max="9989" width="16.85546875" style="1" customWidth="1"/>
    <col min="9990" max="9990" width="16" style="1" bestFit="1" customWidth="1"/>
    <col min="9991" max="9991" width="16.28515625" style="1" customWidth="1"/>
    <col min="9992" max="9992" width="15.28515625" style="1" bestFit="1" customWidth="1"/>
    <col min="9993" max="9993" width="10.28515625" style="1" bestFit="1" customWidth="1"/>
    <col min="9994" max="9994" width="18.5703125" style="1" bestFit="1" customWidth="1"/>
    <col min="9995" max="9995" width="14" style="1" bestFit="1" customWidth="1"/>
    <col min="9996" max="9996" width="11.85546875" style="1" bestFit="1" customWidth="1"/>
    <col min="9997" max="9997" width="25.85546875" style="1" bestFit="1" customWidth="1"/>
    <col min="9998" max="9998" width="17" style="1" bestFit="1" customWidth="1"/>
    <col min="9999" max="9999" width="12.42578125" style="1" bestFit="1" customWidth="1"/>
    <col min="10000" max="10000" width="16" style="1" bestFit="1" customWidth="1"/>
    <col min="10001" max="10001" width="10.42578125" style="1" bestFit="1" customWidth="1"/>
    <col min="10002" max="10002" width="27.5703125" style="1" bestFit="1" customWidth="1"/>
    <col min="10003" max="10232" width="9.140625" style="1"/>
    <col min="10233" max="10233" width="31.5703125" style="1" bestFit="1" customWidth="1"/>
    <col min="10234" max="10234" width="15.28515625" style="1" bestFit="1" customWidth="1"/>
    <col min="10235" max="10237" width="15.28515625" style="1" customWidth="1"/>
    <col min="10238" max="10238" width="16" style="1" bestFit="1" customWidth="1"/>
    <col min="10239" max="10241" width="16.140625" style="1" customWidth="1"/>
    <col min="10242" max="10242" width="16.28515625" style="1" customWidth="1"/>
    <col min="10243" max="10243" width="14.7109375" style="1" bestFit="1" customWidth="1"/>
    <col min="10244" max="10244" width="15" style="1" bestFit="1" customWidth="1"/>
    <col min="10245" max="10245" width="16.85546875" style="1" customWidth="1"/>
    <col min="10246" max="10246" width="16" style="1" bestFit="1" customWidth="1"/>
    <col min="10247" max="10247" width="16.28515625" style="1" customWidth="1"/>
    <col min="10248" max="10248" width="15.28515625" style="1" bestFit="1" customWidth="1"/>
    <col min="10249" max="10249" width="10.28515625" style="1" bestFit="1" customWidth="1"/>
    <col min="10250" max="10250" width="18.5703125" style="1" bestFit="1" customWidth="1"/>
    <col min="10251" max="10251" width="14" style="1" bestFit="1" customWidth="1"/>
    <col min="10252" max="10252" width="11.85546875" style="1" bestFit="1" customWidth="1"/>
    <col min="10253" max="10253" width="25.85546875" style="1" bestFit="1" customWidth="1"/>
    <col min="10254" max="10254" width="17" style="1" bestFit="1" customWidth="1"/>
    <col min="10255" max="10255" width="12.42578125" style="1" bestFit="1" customWidth="1"/>
    <col min="10256" max="10256" width="16" style="1" bestFit="1" customWidth="1"/>
    <col min="10257" max="10257" width="10.42578125" style="1" bestFit="1" customWidth="1"/>
    <col min="10258" max="10258" width="27.5703125" style="1" bestFit="1" customWidth="1"/>
    <col min="10259" max="10488" width="9.140625" style="1"/>
    <col min="10489" max="10489" width="31.5703125" style="1" bestFit="1" customWidth="1"/>
    <col min="10490" max="10490" width="15.28515625" style="1" bestFit="1" customWidth="1"/>
    <col min="10491" max="10493" width="15.28515625" style="1" customWidth="1"/>
    <col min="10494" max="10494" width="16" style="1" bestFit="1" customWidth="1"/>
    <col min="10495" max="10497" width="16.140625" style="1" customWidth="1"/>
    <col min="10498" max="10498" width="16.28515625" style="1" customWidth="1"/>
    <col min="10499" max="10499" width="14.7109375" style="1" bestFit="1" customWidth="1"/>
    <col min="10500" max="10500" width="15" style="1" bestFit="1" customWidth="1"/>
    <col min="10501" max="10501" width="16.85546875" style="1" customWidth="1"/>
    <col min="10502" max="10502" width="16" style="1" bestFit="1" customWidth="1"/>
    <col min="10503" max="10503" width="16.28515625" style="1" customWidth="1"/>
    <col min="10504" max="10504" width="15.28515625" style="1" bestFit="1" customWidth="1"/>
    <col min="10505" max="10505" width="10.28515625" style="1" bestFit="1" customWidth="1"/>
    <col min="10506" max="10506" width="18.5703125" style="1" bestFit="1" customWidth="1"/>
    <col min="10507" max="10507" width="14" style="1" bestFit="1" customWidth="1"/>
    <col min="10508" max="10508" width="11.85546875" style="1" bestFit="1" customWidth="1"/>
    <col min="10509" max="10509" width="25.85546875" style="1" bestFit="1" customWidth="1"/>
    <col min="10510" max="10510" width="17" style="1" bestFit="1" customWidth="1"/>
    <col min="10511" max="10511" width="12.42578125" style="1" bestFit="1" customWidth="1"/>
    <col min="10512" max="10512" width="16" style="1" bestFit="1" customWidth="1"/>
    <col min="10513" max="10513" width="10.42578125" style="1" bestFit="1" customWidth="1"/>
    <col min="10514" max="10514" width="27.5703125" style="1" bestFit="1" customWidth="1"/>
    <col min="10515" max="10744" width="9.140625" style="1"/>
    <col min="10745" max="10745" width="31.5703125" style="1" bestFit="1" customWidth="1"/>
    <col min="10746" max="10746" width="15.28515625" style="1" bestFit="1" customWidth="1"/>
    <col min="10747" max="10749" width="15.28515625" style="1" customWidth="1"/>
    <col min="10750" max="10750" width="16" style="1" bestFit="1" customWidth="1"/>
    <col min="10751" max="10753" width="16.140625" style="1" customWidth="1"/>
    <col min="10754" max="10754" width="16.28515625" style="1" customWidth="1"/>
    <col min="10755" max="10755" width="14.7109375" style="1" bestFit="1" customWidth="1"/>
    <col min="10756" max="10756" width="15" style="1" bestFit="1" customWidth="1"/>
    <col min="10757" max="10757" width="16.85546875" style="1" customWidth="1"/>
    <col min="10758" max="10758" width="16" style="1" bestFit="1" customWidth="1"/>
    <col min="10759" max="10759" width="16.28515625" style="1" customWidth="1"/>
    <col min="10760" max="10760" width="15.28515625" style="1" bestFit="1" customWidth="1"/>
    <col min="10761" max="10761" width="10.28515625" style="1" bestFit="1" customWidth="1"/>
    <col min="10762" max="10762" width="18.5703125" style="1" bestFit="1" customWidth="1"/>
    <col min="10763" max="10763" width="14" style="1" bestFit="1" customWidth="1"/>
    <col min="10764" max="10764" width="11.85546875" style="1" bestFit="1" customWidth="1"/>
    <col min="10765" max="10765" width="25.85546875" style="1" bestFit="1" customWidth="1"/>
    <col min="10766" max="10766" width="17" style="1" bestFit="1" customWidth="1"/>
    <col min="10767" max="10767" width="12.42578125" style="1" bestFit="1" customWidth="1"/>
    <col min="10768" max="10768" width="16" style="1" bestFit="1" customWidth="1"/>
    <col min="10769" max="10769" width="10.42578125" style="1" bestFit="1" customWidth="1"/>
    <col min="10770" max="10770" width="27.5703125" style="1" bestFit="1" customWidth="1"/>
    <col min="10771" max="11000" width="9.140625" style="1"/>
    <col min="11001" max="11001" width="31.5703125" style="1" bestFit="1" customWidth="1"/>
    <col min="11002" max="11002" width="15.28515625" style="1" bestFit="1" customWidth="1"/>
    <col min="11003" max="11005" width="15.28515625" style="1" customWidth="1"/>
    <col min="11006" max="11006" width="16" style="1" bestFit="1" customWidth="1"/>
    <col min="11007" max="11009" width="16.140625" style="1" customWidth="1"/>
    <col min="11010" max="11010" width="16.28515625" style="1" customWidth="1"/>
    <col min="11011" max="11011" width="14.7109375" style="1" bestFit="1" customWidth="1"/>
    <col min="11012" max="11012" width="15" style="1" bestFit="1" customWidth="1"/>
    <col min="11013" max="11013" width="16.85546875" style="1" customWidth="1"/>
    <col min="11014" max="11014" width="16" style="1" bestFit="1" customWidth="1"/>
    <col min="11015" max="11015" width="16.28515625" style="1" customWidth="1"/>
    <col min="11016" max="11016" width="15.28515625" style="1" bestFit="1" customWidth="1"/>
    <col min="11017" max="11017" width="10.28515625" style="1" bestFit="1" customWidth="1"/>
    <col min="11018" max="11018" width="18.5703125" style="1" bestFit="1" customWidth="1"/>
    <col min="11019" max="11019" width="14" style="1" bestFit="1" customWidth="1"/>
    <col min="11020" max="11020" width="11.85546875" style="1" bestFit="1" customWidth="1"/>
    <col min="11021" max="11021" width="25.85546875" style="1" bestFit="1" customWidth="1"/>
    <col min="11022" max="11022" width="17" style="1" bestFit="1" customWidth="1"/>
    <col min="11023" max="11023" width="12.42578125" style="1" bestFit="1" customWidth="1"/>
    <col min="11024" max="11024" width="16" style="1" bestFit="1" customWidth="1"/>
    <col min="11025" max="11025" width="10.42578125" style="1" bestFit="1" customWidth="1"/>
    <col min="11026" max="11026" width="27.5703125" style="1" bestFit="1" customWidth="1"/>
    <col min="11027" max="11256" width="9.140625" style="1"/>
    <col min="11257" max="11257" width="31.5703125" style="1" bestFit="1" customWidth="1"/>
    <col min="11258" max="11258" width="15.28515625" style="1" bestFit="1" customWidth="1"/>
    <col min="11259" max="11261" width="15.28515625" style="1" customWidth="1"/>
    <col min="11262" max="11262" width="16" style="1" bestFit="1" customWidth="1"/>
    <col min="11263" max="11265" width="16.140625" style="1" customWidth="1"/>
    <col min="11266" max="11266" width="16.28515625" style="1" customWidth="1"/>
    <col min="11267" max="11267" width="14.7109375" style="1" bestFit="1" customWidth="1"/>
    <col min="11268" max="11268" width="15" style="1" bestFit="1" customWidth="1"/>
    <col min="11269" max="11269" width="16.85546875" style="1" customWidth="1"/>
    <col min="11270" max="11270" width="16" style="1" bestFit="1" customWidth="1"/>
    <col min="11271" max="11271" width="16.28515625" style="1" customWidth="1"/>
    <col min="11272" max="11272" width="15.28515625" style="1" bestFit="1" customWidth="1"/>
    <col min="11273" max="11273" width="10.28515625" style="1" bestFit="1" customWidth="1"/>
    <col min="11274" max="11274" width="18.5703125" style="1" bestFit="1" customWidth="1"/>
    <col min="11275" max="11275" width="14" style="1" bestFit="1" customWidth="1"/>
    <col min="11276" max="11276" width="11.85546875" style="1" bestFit="1" customWidth="1"/>
    <col min="11277" max="11277" width="25.85546875" style="1" bestFit="1" customWidth="1"/>
    <col min="11278" max="11278" width="17" style="1" bestFit="1" customWidth="1"/>
    <col min="11279" max="11279" width="12.42578125" style="1" bestFit="1" customWidth="1"/>
    <col min="11280" max="11280" width="16" style="1" bestFit="1" customWidth="1"/>
    <col min="11281" max="11281" width="10.42578125" style="1" bestFit="1" customWidth="1"/>
    <col min="11282" max="11282" width="27.5703125" style="1" bestFit="1" customWidth="1"/>
    <col min="11283" max="11512" width="9.140625" style="1"/>
    <col min="11513" max="11513" width="31.5703125" style="1" bestFit="1" customWidth="1"/>
    <col min="11514" max="11514" width="15.28515625" style="1" bestFit="1" customWidth="1"/>
    <col min="11515" max="11517" width="15.28515625" style="1" customWidth="1"/>
    <col min="11518" max="11518" width="16" style="1" bestFit="1" customWidth="1"/>
    <col min="11519" max="11521" width="16.140625" style="1" customWidth="1"/>
    <col min="11522" max="11522" width="16.28515625" style="1" customWidth="1"/>
    <col min="11523" max="11523" width="14.7109375" style="1" bestFit="1" customWidth="1"/>
    <col min="11524" max="11524" width="15" style="1" bestFit="1" customWidth="1"/>
    <col min="11525" max="11525" width="16.85546875" style="1" customWidth="1"/>
    <col min="11526" max="11526" width="16" style="1" bestFit="1" customWidth="1"/>
    <col min="11527" max="11527" width="16.28515625" style="1" customWidth="1"/>
    <col min="11528" max="11528" width="15.28515625" style="1" bestFit="1" customWidth="1"/>
    <col min="11529" max="11529" width="10.28515625" style="1" bestFit="1" customWidth="1"/>
    <col min="11530" max="11530" width="18.5703125" style="1" bestFit="1" customWidth="1"/>
    <col min="11531" max="11531" width="14" style="1" bestFit="1" customWidth="1"/>
    <col min="11532" max="11532" width="11.85546875" style="1" bestFit="1" customWidth="1"/>
    <col min="11533" max="11533" width="25.85546875" style="1" bestFit="1" customWidth="1"/>
    <col min="11534" max="11534" width="17" style="1" bestFit="1" customWidth="1"/>
    <col min="11535" max="11535" width="12.42578125" style="1" bestFit="1" customWidth="1"/>
    <col min="11536" max="11536" width="16" style="1" bestFit="1" customWidth="1"/>
    <col min="11537" max="11537" width="10.42578125" style="1" bestFit="1" customWidth="1"/>
    <col min="11538" max="11538" width="27.5703125" style="1" bestFit="1" customWidth="1"/>
    <col min="11539" max="11768" width="9.140625" style="1"/>
    <col min="11769" max="11769" width="31.5703125" style="1" bestFit="1" customWidth="1"/>
    <col min="11770" max="11770" width="15.28515625" style="1" bestFit="1" customWidth="1"/>
    <col min="11771" max="11773" width="15.28515625" style="1" customWidth="1"/>
    <col min="11774" max="11774" width="16" style="1" bestFit="1" customWidth="1"/>
    <col min="11775" max="11777" width="16.140625" style="1" customWidth="1"/>
    <col min="11778" max="11778" width="16.28515625" style="1" customWidth="1"/>
    <col min="11779" max="11779" width="14.7109375" style="1" bestFit="1" customWidth="1"/>
    <col min="11780" max="11780" width="15" style="1" bestFit="1" customWidth="1"/>
    <col min="11781" max="11781" width="16.85546875" style="1" customWidth="1"/>
    <col min="11782" max="11782" width="16" style="1" bestFit="1" customWidth="1"/>
    <col min="11783" max="11783" width="16.28515625" style="1" customWidth="1"/>
    <col min="11784" max="11784" width="15.28515625" style="1" bestFit="1" customWidth="1"/>
    <col min="11785" max="11785" width="10.28515625" style="1" bestFit="1" customWidth="1"/>
    <col min="11786" max="11786" width="18.5703125" style="1" bestFit="1" customWidth="1"/>
    <col min="11787" max="11787" width="14" style="1" bestFit="1" customWidth="1"/>
    <col min="11788" max="11788" width="11.85546875" style="1" bestFit="1" customWidth="1"/>
    <col min="11789" max="11789" width="25.85546875" style="1" bestFit="1" customWidth="1"/>
    <col min="11790" max="11790" width="17" style="1" bestFit="1" customWidth="1"/>
    <col min="11791" max="11791" width="12.42578125" style="1" bestFit="1" customWidth="1"/>
    <col min="11792" max="11792" width="16" style="1" bestFit="1" customWidth="1"/>
    <col min="11793" max="11793" width="10.42578125" style="1" bestFit="1" customWidth="1"/>
    <col min="11794" max="11794" width="27.5703125" style="1" bestFit="1" customWidth="1"/>
    <col min="11795" max="12024" width="9.140625" style="1"/>
    <col min="12025" max="12025" width="31.5703125" style="1" bestFit="1" customWidth="1"/>
    <col min="12026" max="12026" width="15.28515625" style="1" bestFit="1" customWidth="1"/>
    <col min="12027" max="12029" width="15.28515625" style="1" customWidth="1"/>
    <col min="12030" max="12030" width="16" style="1" bestFit="1" customWidth="1"/>
    <col min="12031" max="12033" width="16.140625" style="1" customWidth="1"/>
    <col min="12034" max="12034" width="16.28515625" style="1" customWidth="1"/>
    <col min="12035" max="12035" width="14.7109375" style="1" bestFit="1" customWidth="1"/>
    <col min="12036" max="12036" width="15" style="1" bestFit="1" customWidth="1"/>
    <col min="12037" max="12037" width="16.85546875" style="1" customWidth="1"/>
    <col min="12038" max="12038" width="16" style="1" bestFit="1" customWidth="1"/>
    <col min="12039" max="12039" width="16.28515625" style="1" customWidth="1"/>
    <col min="12040" max="12040" width="15.28515625" style="1" bestFit="1" customWidth="1"/>
    <col min="12041" max="12041" width="10.28515625" style="1" bestFit="1" customWidth="1"/>
    <col min="12042" max="12042" width="18.5703125" style="1" bestFit="1" customWidth="1"/>
    <col min="12043" max="12043" width="14" style="1" bestFit="1" customWidth="1"/>
    <col min="12044" max="12044" width="11.85546875" style="1" bestFit="1" customWidth="1"/>
    <col min="12045" max="12045" width="25.85546875" style="1" bestFit="1" customWidth="1"/>
    <col min="12046" max="12046" width="17" style="1" bestFit="1" customWidth="1"/>
    <col min="12047" max="12047" width="12.42578125" style="1" bestFit="1" customWidth="1"/>
    <col min="12048" max="12048" width="16" style="1" bestFit="1" customWidth="1"/>
    <col min="12049" max="12049" width="10.42578125" style="1" bestFit="1" customWidth="1"/>
    <col min="12050" max="12050" width="27.5703125" style="1" bestFit="1" customWidth="1"/>
    <col min="12051" max="12280" width="9.140625" style="1"/>
    <col min="12281" max="12281" width="31.5703125" style="1" bestFit="1" customWidth="1"/>
    <col min="12282" max="12282" width="15.28515625" style="1" bestFit="1" customWidth="1"/>
    <col min="12283" max="12285" width="15.28515625" style="1" customWidth="1"/>
    <col min="12286" max="12286" width="16" style="1" bestFit="1" customWidth="1"/>
    <col min="12287" max="12289" width="16.140625" style="1" customWidth="1"/>
    <col min="12290" max="12290" width="16.28515625" style="1" customWidth="1"/>
    <col min="12291" max="12291" width="14.7109375" style="1" bestFit="1" customWidth="1"/>
    <col min="12292" max="12292" width="15" style="1" bestFit="1" customWidth="1"/>
    <col min="12293" max="12293" width="16.85546875" style="1" customWidth="1"/>
    <col min="12294" max="12294" width="16" style="1" bestFit="1" customWidth="1"/>
    <col min="12295" max="12295" width="16.28515625" style="1" customWidth="1"/>
    <col min="12296" max="12296" width="15.28515625" style="1" bestFit="1" customWidth="1"/>
    <col min="12297" max="12297" width="10.28515625" style="1" bestFit="1" customWidth="1"/>
    <col min="12298" max="12298" width="18.5703125" style="1" bestFit="1" customWidth="1"/>
    <col min="12299" max="12299" width="14" style="1" bestFit="1" customWidth="1"/>
    <col min="12300" max="12300" width="11.85546875" style="1" bestFit="1" customWidth="1"/>
    <col min="12301" max="12301" width="25.85546875" style="1" bestFit="1" customWidth="1"/>
    <col min="12302" max="12302" width="17" style="1" bestFit="1" customWidth="1"/>
    <col min="12303" max="12303" width="12.42578125" style="1" bestFit="1" customWidth="1"/>
    <col min="12304" max="12304" width="16" style="1" bestFit="1" customWidth="1"/>
    <col min="12305" max="12305" width="10.42578125" style="1" bestFit="1" customWidth="1"/>
    <col min="12306" max="12306" width="27.5703125" style="1" bestFit="1" customWidth="1"/>
    <col min="12307" max="12536" width="9.140625" style="1"/>
    <col min="12537" max="12537" width="31.5703125" style="1" bestFit="1" customWidth="1"/>
    <col min="12538" max="12538" width="15.28515625" style="1" bestFit="1" customWidth="1"/>
    <col min="12539" max="12541" width="15.28515625" style="1" customWidth="1"/>
    <col min="12542" max="12542" width="16" style="1" bestFit="1" customWidth="1"/>
    <col min="12543" max="12545" width="16.140625" style="1" customWidth="1"/>
    <col min="12546" max="12546" width="16.28515625" style="1" customWidth="1"/>
    <col min="12547" max="12547" width="14.7109375" style="1" bestFit="1" customWidth="1"/>
    <col min="12548" max="12548" width="15" style="1" bestFit="1" customWidth="1"/>
    <col min="12549" max="12549" width="16.85546875" style="1" customWidth="1"/>
    <col min="12550" max="12550" width="16" style="1" bestFit="1" customWidth="1"/>
    <col min="12551" max="12551" width="16.28515625" style="1" customWidth="1"/>
    <col min="12552" max="12552" width="15.28515625" style="1" bestFit="1" customWidth="1"/>
    <col min="12553" max="12553" width="10.28515625" style="1" bestFit="1" customWidth="1"/>
    <col min="12554" max="12554" width="18.5703125" style="1" bestFit="1" customWidth="1"/>
    <col min="12555" max="12555" width="14" style="1" bestFit="1" customWidth="1"/>
    <col min="12556" max="12556" width="11.85546875" style="1" bestFit="1" customWidth="1"/>
    <col min="12557" max="12557" width="25.85546875" style="1" bestFit="1" customWidth="1"/>
    <col min="12558" max="12558" width="17" style="1" bestFit="1" customWidth="1"/>
    <col min="12559" max="12559" width="12.42578125" style="1" bestFit="1" customWidth="1"/>
    <col min="12560" max="12560" width="16" style="1" bestFit="1" customWidth="1"/>
    <col min="12561" max="12561" width="10.42578125" style="1" bestFit="1" customWidth="1"/>
    <col min="12562" max="12562" width="27.5703125" style="1" bestFit="1" customWidth="1"/>
    <col min="12563" max="12792" width="9.140625" style="1"/>
    <col min="12793" max="12793" width="31.5703125" style="1" bestFit="1" customWidth="1"/>
    <col min="12794" max="12794" width="15.28515625" style="1" bestFit="1" customWidth="1"/>
    <col min="12795" max="12797" width="15.28515625" style="1" customWidth="1"/>
    <col min="12798" max="12798" width="16" style="1" bestFit="1" customWidth="1"/>
    <col min="12799" max="12801" width="16.140625" style="1" customWidth="1"/>
    <col min="12802" max="12802" width="16.28515625" style="1" customWidth="1"/>
    <col min="12803" max="12803" width="14.7109375" style="1" bestFit="1" customWidth="1"/>
    <col min="12804" max="12804" width="15" style="1" bestFit="1" customWidth="1"/>
    <col min="12805" max="12805" width="16.85546875" style="1" customWidth="1"/>
    <col min="12806" max="12806" width="16" style="1" bestFit="1" customWidth="1"/>
    <col min="12807" max="12807" width="16.28515625" style="1" customWidth="1"/>
    <col min="12808" max="12808" width="15.28515625" style="1" bestFit="1" customWidth="1"/>
    <col min="12809" max="12809" width="10.28515625" style="1" bestFit="1" customWidth="1"/>
    <col min="12810" max="12810" width="18.5703125" style="1" bestFit="1" customWidth="1"/>
    <col min="12811" max="12811" width="14" style="1" bestFit="1" customWidth="1"/>
    <col min="12812" max="12812" width="11.85546875" style="1" bestFit="1" customWidth="1"/>
    <col min="12813" max="12813" width="25.85546875" style="1" bestFit="1" customWidth="1"/>
    <col min="12814" max="12814" width="17" style="1" bestFit="1" customWidth="1"/>
    <col min="12815" max="12815" width="12.42578125" style="1" bestFit="1" customWidth="1"/>
    <col min="12816" max="12816" width="16" style="1" bestFit="1" customWidth="1"/>
    <col min="12817" max="12817" width="10.42578125" style="1" bestFit="1" customWidth="1"/>
    <col min="12818" max="12818" width="27.5703125" style="1" bestFit="1" customWidth="1"/>
    <col min="12819" max="13048" width="9.140625" style="1"/>
    <col min="13049" max="13049" width="31.5703125" style="1" bestFit="1" customWidth="1"/>
    <col min="13050" max="13050" width="15.28515625" style="1" bestFit="1" customWidth="1"/>
    <col min="13051" max="13053" width="15.28515625" style="1" customWidth="1"/>
    <col min="13054" max="13054" width="16" style="1" bestFit="1" customWidth="1"/>
    <col min="13055" max="13057" width="16.140625" style="1" customWidth="1"/>
    <col min="13058" max="13058" width="16.28515625" style="1" customWidth="1"/>
    <col min="13059" max="13059" width="14.7109375" style="1" bestFit="1" customWidth="1"/>
    <col min="13060" max="13060" width="15" style="1" bestFit="1" customWidth="1"/>
    <col min="13061" max="13061" width="16.85546875" style="1" customWidth="1"/>
    <col min="13062" max="13062" width="16" style="1" bestFit="1" customWidth="1"/>
    <col min="13063" max="13063" width="16.28515625" style="1" customWidth="1"/>
    <col min="13064" max="13064" width="15.28515625" style="1" bestFit="1" customWidth="1"/>
    <col min="13065" max="13065" width="10.28515625" style="1" bestFit="1" customWidth="1"/>
    <col min="13066" max="13066" width="18.5703125" style="1" bestFit="1" customWidth="1"/>
    <col min="13067" max="13067" width="14" style="1" bestFit="1" customWidth="1"/>
    <col min="13068" max="13068" width="11.85546875" style="1" bestFit="1" customWidth="1"/>
    <col min="13069" max="13069" width="25.85546875" style="1" bestFit="1" customWidth="1"/>
    <col min="13070" max="13070" width="17" style="1" bestFit="1" customWidth="1"/>
    <col min="13071" max="13071" width="12.42578125" style="1" bestFit="1" customWidth="1"/>
    <col min="13072" max="13072" width="16" style="1" bestFit="1" customWidth="1"/>
    <col min="13073" max="13073" width="10.42578125" style="1" bestFit="1" customWidth="1"/>
    <col min="13074" max="13074" width="27.5703125" style="1" bestFit="1" customWidth="1"/>
    <col min="13075" max="13304" width="9.140625" style="1"/>
    <col min="13305" max="13305" width="31.5703125" style="1" bestFit="1" customWidth="1"/>
    <col min="13306" max="13306" width="15.28515625" style="1" bestFit="1" customWidth="1"/>
    <col min="13307" max="13309" width="15.28515625" style="1" customWidth="1"/>
    <col min="13310" max="13310" width="16" style="1" bestFit="1" customWidth="1"/>
    <col min="13311" max="13313" width="16.140625" style="1" customWidth="1"/>
    <col min="13314" max="13314" width="16.28515625" style="1" customWidth="1"/>
    <col min="13315" max="13315" width="14.7109375" style="1" bestFit="1" customWidth="1"/>
    <col min="13316" max="13316" width="15" style="1" bestFit="1" customWidth="1"/>
    <col min="13317" max="13317" width="16.85546875" style="1" customWidth="1"/>
    <col min="13318" max="13318" width="16" style="1" bestFit="1" customWidth="1"/>
    <col min="13319" max="13319" width="16.28515625" style="1" customWidth="1"/>
    <col min="13320" max="13320" width="15.28515625" style="1" bestFit="1" customWidth="1"/>
    <col min="13321" max="13321" width="10.28515625" style="1" bestFit="1" customWidth="1"/>
    <col min="13322" max="13322" width="18.5703125" style="1" bestFit="1" customWidth="1"/>
    <col min="13323" max="13323" width="14" style="1" bestFit="1" customWidth="1"/>
    <col min="13324" max="13324" width="11.85546875" style="1" bestFit="1" customWidth="1"/>
    <col min="13325" max="13325" width="25.85546875" style="1" bestFit="1" customWidth="1"/>
    <col min="13326" max="13326" width="17" style="1" bestFit="1" customWidth="1"/>
    <col min="13327" max="13327" width="12.42578125" style="1" bestFit="1" customWidth="1"/>
    <col min="13328" max="13328" width="16" style="1" bestFit="1" customWidth="1"/>
    <col min="13329" max="13329" width="10.42578125" style="1" bestFit="1" customWidth="1"/>
    <col min="13330" max="13330" width="27.5703125" style="1" bestFit="1" customWidth="1"/>
    <col min="13331" max="13560" width="9.140625" style="1"/>
    <col min="13561" max="13561" width="31.5703125" style="1" bestFit="1" customWidth="1"/>
    <col min="13562" max="13562" width="15.28515625" style="1" bestFit="1" customWidth="1"/>
    <col min="13563" max="13565" width="15.28515625" style="1" customWidth="1"/>
    <col min="13566" max="13566" width="16" style="1" bestFit="1" customWidth="1"/>
    <col min="13567" max="13569" width="16.140625" style="1" customWidth="1"/>
    <col min="13570" max="13570" width="16.28515625" style="1" customWidth="1"/>
    <col min="13571" max="13571" width="14.7109375" style="1" bestFit="1" customWidth="1"/>
    <col min="13572" max="13572" width="15" style="1" bestFit="1" customWidth="1"/>
    <col min="13573" max="13573" width="16.85546875" style="1" customWidth="1"/>
    <col min="13574" max="13574" width="16" style="1" bestFit="1" customWidth="1"/>
    <col min="13575" max="13575" width="16.28515625" style="1" customWidth="1"/>
    <col min="13576" max="13576" width="15.28515625" style="1" bestFit="1" customWidth="1"/>
    <col min="13577" max="13577" width="10.28515625" style="1" bestFit="1" customWidth="1"/>
    <col min="13578" max="13578" width="18.5703125" style="1" bestFit="1" customWidth="1"/>
    <col min="13579" max="13579" width="14" style="1" bestFit="1" customWidth="1"/>
    <col min="13580" max="13580" width="11.85546875" style="1" bestFit="1" customWidth="1"/>
    <col min="13581" max="13581" width="25.85546875" style="1" bestFit="1" customWidth="1"/>
    <col min="13582" max="13582" width="17" style="1" bestFit="1" customWidth="1"/>
    <col min="13583" max="13583" width="12.42578125" style="1" bestFit="1" customWidth="1"/>
    <col min="13584" max="13584" width="16" style="1" bestFit="1" customWidth="1"/>
    <col min="13585" max="13585" width="10.42578125" style="1" bestFit="1" customWidth="1"/>
    <col min="13586" max="13586" width="27.5703125" style="1" bestFit="1" customWidth="1"/>
    <col min="13587" max="13816" width="9.140625" style="1"/>
    <col min="13817" max="13817" width="31.5703125" style="1" bestFit="1" customWidth="1"/>
    <col min="13818" max="13818" width="15.28515625" style="1" bestFit="1" customWidth="1"/>
    <col min="13819" max="13821" width="15.28515625" style="1" customWidth="1"/>
    <col min="13822" max="13822" width="16" style="1" bestFit="1" customWidth="1"/>
    <col min="13823" max="13825" width="16.140625" style="1" customWidth="1"/>
    <col min="13826" max="13826" width="16.28515625" style="1" customWidth="1"/>
    <col min="13827" max="13827" width="14.7109375" style="1" bestFit="1" customWidth="1"/>
    <col min="13828" max="13828" width="15" style="1" bestFit="1" customWidth="1"/>
    <col min="13829" max="13829" width="16.85546875" style="1" customWidth="1"/>
    <col min="13830" max="13830" width="16" style="1" bestFit="1" customWidth="1"/>
    <col min="13831" max="13831" width="16.28515625" style="1" customWidth="1"/>
    <col min="13832" max="13832" width="15.28515625" style="1" bestFit="1" customWidth="1"/>
    <col min="13833" max="13833" width="10.28515625" style="1" bestFit="1" customWidth="1"/>
    <col min="13834" max="13834" width="18.5703125" style="1" bestFit="1" customWidth="1"/>
    <col min="13835" max="13835" width="14" style="1" bestFit="1" customWidth="1"/>
    <col min="13836" max="13836" width="11.85546875" style="1" bestFit="1" customWidth="1"/>
    <col min="13837" max="13837" width="25.85546875" style="1" bestFit="1" customWidth="1"/>
    <col min="13838" max="13838" width="17" style="1" bestFit="1" customWidth="1"/>
    <col min="13839" max="13839" width="12.42578125" style="1" bestFit="1" customWidth="1"/>
    <col min="13840" max="13840" width="16" style="1" bestFit="1" customWidth="1"/>
    <col min="13841" max="13841" width="10.42578125" style="1" bestFit="1" customWidth="1"/>
    <col min="13842" max="13842" width="27.5703125" style="1" bestFit="1" customWidth="1"/>
    <col min="13843" max="14072" width="9.140625" style="1"/>
    <col min="14073" max="14073" width="31.5703125" style="1" bestFit="1" customWidth="1"/>
    <col min="14074" max="14074" width="15.28515625" style="1" bestFit="1" customWidth="1"/>
    <col min="14075" max="14077" width="15.28515625" style="1" customWidth="1"/>
    <col min="14078" max="14078" width="16" style="1" bestFit="1" customWidth="1"/>
    <col min="14079" max="14081" width="16.140625" style="1" customWidth="1"/>
    <col min="14082" max="14082" width="16.28515625" style="1" customWidth="1"/>
    <col min="14083" max="14083" width="14.7109375" style="1" bestFit="1" customWidth="1"/>
    <col min="14084" max="14084" width="15" style="1" bestFit="1" customWidth="1"/>
    <col min="14085" max="14085" width="16.85546875" style="1" customWidth="1"/>
    <col min="14086" max="14086" width="16" style="1" bestFit="1" customWidth="1"/>
    <col min="14087" max="14087" width="16.28515625" style="1" customWidth="1"/>
    <col min="14088" max="14088" width="15.28515625" style="1" bestFit="1" customWidth="1"/>
    <col min="14089" max="14089" width="10.28515625" style="1" bestFit="1" customWidth="1"/>
    <col min="14090" max="14090" width="18.5703125" style="1" bestFit="1" customWidth="1"/>
    <col min="14091" max="14091" width="14" style="1" bestFit="1" customWidth="1"/>
    <col min="14092" max="14092" width="11.85546875" style="1" bestFit="1" customWidth="1"/>
    <col min="14093" max="14093" width="25.85546875" style="1" bestFit="1" customWidth="1"/>
    <col min="14094" max="14094" width="17" style="1" bestFit="1" customWidth="1"/>
    <col min="14095" max="14095" width="12.42578125" style="1" bestFit="1" customWidth="1"/>
    <col min="14096" max="14096" width="16" style="1" bestFit="1" customWidth="1"/>
    <col min="14097" max="14097" width="10.42578125" style="1" bestFit="1" customWidth="1"/>
    <col min="14098" max="14098" width="27.5703125" style="1" bestFit="1" customWidth="1"/>
    <col min="14099" max="14328" width="9.140625" style="1"/>
    <col min="14329" max="14329" width="31.5703125" style="1" bestFit="1" customWidth="1"/>
    <col min="14330" max="14330" width="15.28515625" style="1" bestFit="1" customWidth="1"/>
    <col min="14331" max="14333" width="15.28515625" style="1" customWidth="1"/>
    <col min="14334" max="14334" width="16" style="1" bestFit="1" customWidth="1"/>
    <col min="14335" max="14337" width="16.140625" style="1" customWidth="1"/>
    <col min="14338" max="14338" width="16.28515625" style="1" customWidth="1"/>
    <col min="14339" max="14339" width="14.7109375" style="1" bestFit="1" customWidth="1"/>
    <col min="14340" max="14340" width="15" style="1" bestFit="1" customWidth="1"/>
    <col min="14341" max="14341" width="16.85546875" style="1" customWidth="1"/>
    <col min="14342" max="14342" width="16" style="1" bestFit="1" customWidth="1"/>
    <col min="14343" max="14343" width="16.28515625" style="1" customWidth="1"/>
    <col min="14344" max="14344" width="15.28515625" style="1" bestFit="1" customWidth="1"/>
    <col min="14345" max="14345" width="10.28515625" style="1" bestFit="1" customWidth="1"/>
    <col min="14346" max="14346" width="18.5703125" style="1" bestFit="1" customWidth="1"/>
    <col min="14347" max="14347" width="14" style="1" bestFit="1" customWidth="1"/>
    <col min="14348" max="14348" width="11.85546875" style="1" bestFit="1" customWidth="1"/>
    <col min="14349" max="14349" width="25.85546875" style="1" bestFit="1" customWidth="1"/>
    <col min="14350" max="14350" width="17" style="1" bestFit="1" customWidth="1"/>
    <col min="14351" max="14351" width="12.42578125" style="1" bestFit="1" customWidth="1"/>
    <col min="14352" max="14352" width="16" style="1" bestFit="1" customWidth="1"/>
    <col min="14353" max="14353" width="10.42578125" style="1" bestFit="1" customWidth="1"/>
    <col min="14354" max="14354" width="27.5703125" style="1" bestFit="1" customWidth="1"/>
    <col min="14355" max="14584" width="9.140625" style="1"/>
    <col min="14585" max="14585" width="31.5703125" style="1" bestFit="1" customWidth="1"/>
    <col min="14586" max="14586" width="15.28515625" style="1" bestFit="1" customWidth="1"/>
    <col min="14587" max="14589" width="15.28515625" style="1" customWidth="1"/>
    <col min="14590" max="14590" width="16" style="1" bestFit="1" customWidth="1"/>
    <col min="14591" max="14593" width="16.140625" style="1" customWidth="1"/>
    <col min="14594" max="14594" width="16.28515625" style="1" customWidth="1"/>
    <col min="14595" max="14595" width="14.7109375" style="1" bestFit="1" customWidth="1"/>
    <col min="14596" max="14596" width="15" style="1" bestFit="1" customWidth="1"/>
    <col min="14597" max="14597" width="16.85546875" style="1" customWidth="1"/>
    <col min="14598" max="14598" width="16" style="1" bestFit="1" customWidth="1"/>
    <col min="14599" max="14599" width="16.28515625" style="1" customWidth="1"/>
    <col min="14600" max="14600" width="15.28515625" style="1" bestFit="1" customWidth="1"/>
    <col min="14601" max="14601" width="10.28515625" style="1" bestFit="1" customWidth="1"/>
    <col min="14602" max="14602" width="18.5703125" style="1" bestFit="1" customWidth="1"/>
    <col min="14603" max="14603" width="14" style="1" bestFit="1" customWidth="1"/>
    <col min="14604" max="14604" width="11.85546875" style="1" bestFit="1" customWidth="1"/>
    <col min="14605" max="14605" width="25.85546875" style="1" bestFit="1" customWidth="1"/>
    <col min="14606" max="14606" width="17" style="1" bestFit="1" customWidth="1"/>
    <col min="14607" max="14607" width="12.42578125" style="1" bestFit="1" customWidth="1"/>
    <col min="14608" max="14608" width="16" style="1" bestFit="1" customWidth="1"/>
    <col min="14609" max="14609" width="10.42578125" style="1" bestFit="1" customWidth="1"/>
    <col min="14610" max="14610" width="27.5703125" style="1" bestFit="1" customWidth="1"/>
    <col min="14611" max="14840" width="9.140625" style="1"/>
    <col min="14841" max="14841" width="31.5703125" style="1" bestFit="1" customWidth="1"/>
    <col min="14842" max="14842" width="15.28515625" style="1" bestFit="1" customWidth="1"/>
    <col min="14843" max="14845" width="15.28515625" style="1" customWidth="1"/>
    <col min="14846" max="14846" width="16" style="1" bestFit="1" customWidth="1"/>
    <col min="14847" max="14849" width="16.140625" style="1" customWidth="1"/>
    <col min="14850" max="14850" width="16.28515625" style="1" customWidth="1"/>
    <col min="14851" max="14851" width="14.7109375" style="1" bestFit="1" customWidth="1"/>
    <col min="14852" max="14852" width="15" style="1" bestFit="1" customWidth="1"/>
    <col min="14853" max="14853" width="16.85546875" style="1" customWidth="1"/>
    <col min="14854" max="14854" width="16" style="1" bestFit="1" customWidth="1"/>
    <col min="14855" max="14855" width="16.28515625" style="1" customWidth="1"/>
    <col min="14856" max="14856" width="15.28515625" style="1" bestFit="1" customWidth="1"/>
    <col min="14857" max="14857" width="10.28515625" style="1" bestFit="1" customWidth="1"/>
    <col min="14858" max="14858" width="18.5703125" style="1" bestFit="1" customWidth="1"/>
    <col min="14859" max="14859" width="14" style="1" bestFit="1" customWidth="1"/>
    <col min="14860" max="14860" width="11.85546875" style="1" bestFit="1" customWidth="1"/>
    <col min="14861" max="14861" width="25.85546875" style="1" bestFit="1" customWidth="1"/>
    <col min="14862" max="14862" width="17" style="1" bestFit="1" customWidth="1"/>
    <col min="14863" max="14863" width="12.42578125" style="1" bestFit="1" customWidth="1"/>
    <col min="14864" max="14864" width="16" style="1" bestFit="1" customWidth="1"/>
    <col min="14865" max="14865" width="10.42578125" style="1" bestFit="1" customWidth="1"/>
    <col min="14866" max="14866" width="27.5703125" style="1" bestFit="1" customWidth="1"/>
    <col min="14867" max="15096" width="9.140625" style="1"/>
    <col min="15097" max="15097" width="31.5703125" style="1" bestFit="1" customWidth="1"/>
    <col min="15098" max="15098" width="15.28515625" style="1" bestFit="1" customWidth="1"/>
    <col min="15099" max="15101" width="15.28515625" style="1" customWidth="1"/>
    <col min="15102" max="15102" width="16" style="1" bestFit="1" customWidth="1"/>
    <col min="15103" max="15105" width="16.140625" style="1" customWidth="1"/>
    <col min="15106" max="15106" width="16.28515625" style="1" customWidth="1"/>
    <col min="15107" max="15107" width="14.7109375" style="1" bestFit="1" customWidth="1"/>
    <col min="15108" max="15108" width="15" style="1" bestFit="1" customWidth="1"/>
    <col min="15109" max="15109" width="16.85546875" style="1" customWidth="1"/>
    <col min="15110" max="15110" width="16" style="1" bestFit="1" customWidth="1"/>
    <col min="15111" max="15111" width="16.28515625" style="1" customWidth="1"/>
    <col min="15112" max="15112" width="15.28515625" style="1" bestFit="1" customWidth="1"/>
    <col min="15113" max="15113" width="10.28515625" style="1" bestFit="1" customWidth="1"/>
    <col min="15114" max="15114" width="18.5703125" style="1" bestFit="1" customWidth="1"/>
    <col min="15115" max="15115" width="14" style="1" bestFit="1" customWidth="1"/>
    <col min="15116" max="15116" width="11.85546875" style="1" bestFit="1" customWidth="1"/>
    <col min="15117" max="15117" width="25.85546875" style="1" bestFit="1" customWidth="1"/>
    <col min="15118" max="15118" width="17" style="1" bestFit="1" customWidth="1"/>
    <col min="15119" max="15119" width="12.42578125" style="1" bestFit="1" customWidth="1"/>
    <col min="15120" max="15120" width="16" style="1" bestFit="1" customWidth="1"/>
    <col min="15121" max="15121" width="10.42578125" style="1" bestFit="1" customWidth="1"/>
    <col min="15122" max="15122" width="27.5703125" style="1" bestFit="1" customWidth="1"/>
    <col min="15123" max="15352" width="9.140625" style="1"/>
    <col min="15353" max="15353" width="31.5703125" style="1" bestFit="1" customWidth="1"/>
    <col min="15354" max="15354" width="15.28515625" style="1" bestFit="1" customWidth="1"/>
    <col min="15355" max="15357" width="15.28515625" style="1" customWidth="1"/>
    <col min="15358" max="15358" width="16" style="1" bestFit="1" customWidth="1"/>
    <col min="15359" max="15361" width="16.140625" style="1" customWidth="1"/>
    <col min="15362" max="15362" width="16.28515625" style="1" customWidth="1"/>
    <col min="15363" max="15363" width="14.7109375" style="1" bestFit="1" customWidth="1"/>
    <col min="15364" max="15364" width="15" style="1" bestFit="1" customWidth="1"/>
    <col min="15365" max="15365" width="16.85546875" style="1" customWidth="1"/>
    <col min="15366" max="15366" width="16" style="1" bestFit="1" customWidth="1"/>
    <col min="15367" max="15367" width="16.28515625" style="1" customWidth="1"/>
    <col min="15368" max="15368" width="15.28515625" style="1" bestFit="1" customWidth="1"/>
    <col min="15369" max="15369" width="10.28515625" style="1" bestFit="1" customWidth="1"/>
    <col min="15370" max="15370" width="18.5703125" style="1" bestFit="1" customWidth="1"/>
    <col min="15371" max="15371" width="14" style="1" bestFit="1" customWidth="1"/>
    <col min="15372" max="15372" width="11.85546875" style="1" bestFit="1" customWidth="1"/>
    <col min="15373" max="15373" width="25.85546875" style="1" bestFit="1" customWidth="1"/>
    <col min="15374" max="15374" width="17" style="1" bestFit="1" customWidth="1"/>
    <col min="15375" max="15375" width="12.42578125" style="1" bestFit="1" customWidth="1"/>
    <col min="15376" max="15376" width="16" style="1" bestFit="1" customWidth="1"/>
    <col min="15377" max="15377" width="10.42578125" style="1" bestFit="1" customWidth="1"/>
    <col min="15378" max="15378" width="27.5703125" style="1" bestFit="1" customWidth="1"/>
    <col min="15379" max="15608" width="9.140625" style="1"/>
    <col min="15609" max="15609" width="31.5703125" style="1" bestFit="1" customWidth="1"/>
    <col min="15610" max="15610" width="15.28515625" style="1" bestFit="1" customWidth="1"/>
    <col min="15611" max="15613" width="15.28515625" style="1" customWidth="1"/>
    <col min="15614" max="15614" width="16" style="1" bestFit="1" customWidth="1"/>
    <col min="15615" max="15617" width="16.140625" style="1" customWidth="1"/>
    <col min="15618" max="15618" width="16.28515625" style="1" customWidth="1"/>
    <col min="15619" max="15619" width="14.7109375" style="1" bestFit="1" customWidth="1"/>
    <col min="15620" max="15620" width="15" style="1" bestFit="1" customWidth="1"/>
    <col min="15621" max="15621" width="16.85546875" style="1" customWidth="1"/>
    <col min="15622" max="15622" width="16" style="1" bestFit="1" customWidth="1"/>
    <col min="15623" max="15623" width="16.28515625" style="1" customWidth="1"/>
    <col min="15624" max="15624" width="15.28515625" style="1" bestFit="1" customWidth="1"/>
    <col min="15625" max="15625" width="10.28515625" style="1" bestFit="1" customWidth="1"/>
    <col min="15626" max="15626" width="18.5703125" style="1" bestFit="1" customWidth="1"/>
    <col min="15627" max="15627" width="14" style="1" bestFit="1" customWidth="1"/>
    <col min="15628" max="15628" width="11.85546875" style="1" bestFit="1" customWidth="1"/>
    <col min="15629" max="15629" width="25.85546875" style="1" bestFit="1" customWidth="1"/>
    <col min="15630" max="15630" width="17" style="1" bestFit="1" customWidth="1"/>
    <col min="15631" max="15631" width="12.42578125" style="1" bestFit="1" customWidth="1"/>
    <col min="15632" max="15632" width="16" style="1" bestFit="1" customWidth="1"/>
    <col min="15633" max="15633" width="10.42578125" style="1" bestFit="1" customWidth="1"/>
    <col min="15634" max="15634" width="27.5703125" style="1" bestFit="1" customWidth="1"/>
    <col min="15635" max="15864" width="9.140625" style="1"/>
    <col min="15865" max="15865" width="31.5703125" style="1" bestFit="1" customWidth="1"/>
    <col min="15866" max="15866" width="15.28515625" style="1" bestFit="1" customWidth="1"/>
    <col min="15867" max="15869" width="15.28515625" style="1" customWidth="1"/>
    <col min="15870" max="15870" width="16" style="1" bestFit="1" customWidth="1"/>
    <col min="15871" max="15873" width="16.140625" style="1" customWidth="1"/>
    <col min="15874" max="15874" width="16.28515625" style="1" customWidth="1"/>
    <col min="15875" max="15875" width="14.7109375" style="1" bestFit="1" customWidth="1"/>
    <col min="15876" max="15876" width="15" style="1" bestFit="1" customWidth="1"/>
    <col min="15877" max="15877" width="16.85546875" style="1" customWidth="1"/>
    <col min="15878" max="15878" width="16" style="1" bestFit="1" customWidth="1"/>
    <col min="15879" max="15879" width="16.28515625" style="1" customWidth="1"/>
    <col min="15880" max="15880" width="15.28515625" style="1" bestFit="1" customWidth="1"/>
    <col min="15881" max="15881" width="10.28515625" style="1" bestFit="1" customWidth="1"/>
    <col min="15882" max="15882" width="18.5703125" style="1" bestFit="1" customWidth="1"/>
    <col min="15883" max="15883" width="14" style="1" bestFit="1" customWidth="1"/>
    <col min="15884" max="15884" width="11.85546875" style="1" bestFit="1" customWidth="1"/>
    <col min="15885" max="15885" width="25.85546875" style="1" bestFit="1" customWidth="1"/>
    <col min="15886" max="15886" width="17" style="1" bestFit="1" customWidth="1"/>
    <col min="15887" max="15887" width="12.42578125" style="1" bestFit="1" customWidth="1"/>
    <col min="15888" max="15888" width="16" style="1" bestFit="1" customWidth="1"/>
    <col min="15889" max="15889" width="10.42578125" style="1" bestFit="1" customWidth="1"/>
    <col min="15890" max="15890" width="27.5703125" style="1" bestFit="1" customWidth="1"/>
    <col min="15891" max="16120" width="9.140625" style="1"/>
    <col min="16121" max="16121" width="31.5703125" style="1" bestFit="1" customWidth="1"/>
    <col min="16122" max="16122" width="15.28515625" style="1" bestFit="1" customWidth="1"/>
    <col min="16123" max="16125" width="15.28515625" style="1" customWidth="1"/>
    <col min="16126" max="16126" width="16" style="1" bestFit="1" customWidth="1"/>
    <col min="16127" max="16129" width="16.140625" style="1" customWidth="1"/>
    <col min="16130" max="16130" width="16.28515625" style="1" customWidth="1"/>
    <col min="16131" max="16131" width="14.7109375" style="1" bestFit="1" customWidth="1"/>
    <col min="16132" max="16132" width="15" style="1" bestFit="1" customWidth="1"/>
    <col min="16133" max="16133" width="16.85546875" style="1" customWidth="1"/>
    <col min="16134" max="16134" width="16" style="1" bestFit="1" customWidth="1"/>
    <col min="16135" max="16135" width="16.28515625" style="1" customWidth="1"/>
    <col min="16136" max="16136" width="15.28515625" style="1" bestFit="1" customWidth="1"/>
    <col min="16137" max="16137" width="10.28515625" style="1" bestFit="1" customWidth="1"/>
    <col min="16138" max="16138" width="18.5703125" style="1" bestFit="1" customWidth="1"/>
    <col min="16139" max="16139" width="14" style="1" bestFit="1" customWidth="1"/>
    <col min="16140" max="16140" width="11.85546875" style="1" bestFit="1" customWidth="1"/>
    <col min="16141" max="16141" width="25.85546875" style="1" bestFit="1" customWidth="1"/>
    <col min="16142" max="16142" width="17" style="1" bestFit="1" customWidth="1"/>
    <col min="16143" max="16143" width="12.42578125" style="1" bestFit="1" customWidth="1"/>
    <col min="16144" max="16144" width="16" style="1" bestFit="1" customWidth="1"/>
    <col min="16145" max="16145" width="10.42578125" style="1" bestFit="1" customWidth="1"/>
    <col min="16146" max="16146" width="27.5703125" style="1" bestFit="1" customWidth="1"/>
    <col min="16147" max="16384" width="9.140625" style="1"/>
  </cols>
  <sheetData>
    <row r="2" spans="2:13" x14ac:dyDescent="0.2">
      <c r="D2" s="296" t="s">
        <v>194</v>
      </c>
      <c r="E2" s="296"/>
      <c r="F2" s="296"/>
    </row>
    <row r="3" spans="2:13" s="3" customFormat="1" ht="15.75" x14ac:dyDescent="0.25">
      <c r="B3" s="297"/>
      <c r="C3" s="297"/>
      <c r="D3" s="298"/>
      <c r="E3" s="298"/>
      <c r="F3" s="298"/>
      <c r="G3" s="299"/>
      <c r="H3" s="300"/>
      <c r="I3" s="300"/>
      <c r="J3" s="298"/>
      <c r="K3" s="297"/>
      <c r="L3" s="297"/>
      <c r="M3" s="297"/>
    </row>
    <row r="4" spans="2:13" ht="15.75" x14ac:dyDescent="0.25">
      <c r="B4" s="320" t="s">
        <v>257</v>
      </c>
      <c r="C4" s="301"/>
      <c r="D4" s="302"/>
      <c r="E4" s="302"/>
      <c r="F4" s="302"/>
      <c r="G4" s="303"/>
      <c r="H4" s="302"/>
      <c r="I4" s="302"/>
      <c r="J4" s="304"/>
      <c r="K4" s="14"/>
      <c r="L4" s="14"/>
      <c r="M4" s="14"/>
    </row>
    <row r="5" spans="2:13" ht="15.75" x14ac:dyDescent="0.25">
      <c r="B5" s="14"/>
      <c r="C5" s="301"/>
      <c r="D5" s="224"/>
      <c r="E5" s="224"/>
      <c r="F5" s="224"/>
      <c r="G5" s="301"/>
      <c r="H5" s="224"/>
      <c r="I5" s="305"/>
      <c r="J5" s="304"/>
      <c r="K5" s="14"/>
      <c r="L5" s="14"/>
      <c r="M5" s="14"/>
    </row>
    <row r="6" spans="2:13" x14ac:dyDescent="0.2">
      <c r="B6" s="306"/>
      <c r="C6" s="301"/>
      <c r="D6" s="224"/>
      <c r="E6" s="224"/>
      <c r="F6" s="224"/>
      <c r="G6" s="224"/>
      <c r="H6" s="224"/>
      <c r="I6" s="224"/>
      <c r="J6" s="224"/>
      <c r="K6" s="14"/>
      <c r="L6" s="14"/>
      <c r="M6" s="14"/>
    </row>
    <row r="7" spans="2:13" x14ac:dyDescent="0.2">
      <c r="B7" s="14"/>
      <c r="C7" s="14"/>
      <c r="D7" s="120"/>
      <c r="E7" s="120"/>
      <c r="F7" s="120"/>
      <c r="G7" s="120"/>
      <c r="H7" s="120"/>
      <c r="I7" s="120"/>
      <c r="J7" s="120"/>
      <c r="K7" s="14"/>
      <c r="L7" s="14"/>
      <c r="M7" s="14"/>
    </row>
    <row r="8" spans="2:13" x14ac:dyDescent="0.2">
      <c r="B8" s="14"/>
      <c r="C8" s="14"/>
      <c r="D8" s="14"/>
      <c r="E8" s="14"/>
      <c r="F8" s="14"/>
      <c r="G8" s="14"/>
      <c r="H8" s="14"/>
      <c r="I8" s="14"/>
      <c r="J8" s="121"/>
      <c r="K8" s="14"/>
      <c r="L8" s="14"/>
      <c r="M8" s="14"/>
    </row>
    <row r="9" spans="2:13" x14ac:dyDescent="0.2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2:13" x14ac:dyDescent="0.2">
      <c r="B10" s="307"/>
      <c r="C10" s="14"/>
      <c r="D10" s="14"/>
      <c r="E10" s="14"/>
      <c r="F10" s="14"/>
      <c r="G10" s="14"/>
      <c r="H10" s="14"/>
      <c r="I10" s="14"/>
      <c r="J10" s="14"/>
      <c r="K10" s="308"/>
      <c r="L10" s="308"/>
      <c r="M10" s="14"/>
    </row>
    <row r="11" spans="2:13" ht="15.75" x14ac:dyDescent="0.25">
      <c r="B11" s="309"/>
      <c r="C11" s="222"/>
      <c r="D11" s="306"/>
      <c r="E11" s="121"/>
      <c r="F11" s="121"/>
      <c r="G11" s="310"/>
      <c r="H11" s="310"/>
      <c r="I11" s="306"/>
      <c r="J11" s="306"/>
      <c r="K11" s="311"/>
      <c r="L11" s="312"/>
      <c r="M11" s="14"/>
    </row>
    <row r="12" spans="2:13" ht="15.75" x14ac:dyDescent="0.25">
      <c r="B12" s="309"/>
      <c r="C12" s="222"/>
      <c r="D12" s="306"/>
      <c r="E12" s="121"/>
      <c r="F12" s="121"/>
      <c r="G12" s="310"/>
      <c r="H12" s="310"/>
      <c r="I12" s="306"/>
      <c r="J12" s="306"/>
      <c r="K12" s="311"/>
      <c r="L12" s="312"/>
      <c r="M12" s="14"/>
    </row>
    <row r="13" spans="2:13" ht="15.75" x14ac:dyDescent="0.25">
      <c r="B13" s="309"/>
      <c r="C13" s="222"/>
      <c r="D13" s="306"/>
      <c r="E13" s="121"/>
      <c r="F13" s="121"/>
      <c r="G13" s="310"/>
      <c r="H13" s="310"/>
      <c r="I13" s="306"/>
      <c r="J13" s="306"/>
      <c r="K13" s="311"/>
      <c r="L13" s="312"/>
      <c r="M13" s="14"/>
    </row>
    <row r="14" spans="2:13" ht="15.75" x14ac:dyDescent="0.25">
      <c r="B14" s="313"/>
      <c r="C14" s="173"/>
      <c r="D14" s="314"/>
      <c r="E14" s="315"/>
      <c r="F14" s="315"/>
      <c r="G14" s="316"/>
      <c r="H14" s="316"/>
      <c r="I14" s="315"/>
      <c r="J14" s="314"/>
      <c r="K14" s="308"/>
      <c r="L14" s="312"/>
      <c r="M14" s="14"/>
    </row>
    <row r="15" spans="2:13" ht="15.75" x14ac:dyDescent="0.25">
      <c r="B15" s="309"/>
      <c r="C15" s="222"/>
      <c r="D15" s="306"/>
      <c r="E15" s="121"/>
      <c r="F15" s="121"/>
      <c r="G15" s="310"/>
      <c r="H15" s="310"/>
      <c r="I15" s="306"/>
      <c r="J15" s="306"/>
      <c r="K15" s="14"/>
      <c r="L15" s="14"/>
      <c r="M15" s="14"/>
    </row>
    <row r="16" spans="2:13" ht="15.75" x14ac:dyDescent="0.25">
      <c r="B16" s="309"/>
      <c r="C16" s="14"/>
      <c r="D16" s="310"/>
      <c r="E16" s="310"/>
      <c r="F16" s="310"/>
      <c r="G16" s="282"/>
      <c r="H16" s="310"/>
      <c r="I16" s="310"/>
      <c r="J16" s="306"/>
      <c r="K16" s="14"/>
      <c r="L16" s="14"/>
      <c r="M16" s="14"/>
    </row>
    <row r="17" spans="2:13" ht="15.75" x14ac:dyDescent="0.25">
      <c r="B17" s="309"/>
      <c r="C17" s="14"/>
      <c r="D17" s="310"/>
      <c r="E17" s="310"/>
      <c r="F17" s="310"/>
      <c r="G17" s="310"/>
      <c r="H17" s="306"/>
      <c r="I17" s="310"/>
      <c r="J17" s="306"/>
      <c r="K17" s="14"/>
      <c r="L17" s="14"/>
      <c r="M17" s="14"/>
    </row>
    <row r="18" spans="2:13" ht="15.75" x14ac:dyDescent="0.25">
      <c r="B18" s="317"/>
      <c r="C18" s="14"/>
      <c r="D18" s="310"/>
      <c r="E18" s="310"/>
      <c r="F18" s="310"/>
      <c r="G18" s="310"/>
      <c r="H18" s="310"/>
      <c r="I18" s="310"/>
      <c r="J18" s="306"/>
      <c r="K18" s="14"/>
      <c r="L18" s="14"/>
      <c r="M18" s="14"/>
    </row>
    <row r="19" spans="2:13" ht="15.75" x14ac:dyDescent="0.25">
      <c r="B19" s="313"/>
      <c r="C19" s="173"/>
      <c r="D19" s="173"/>
      <c r="E19" s="173"/>
      <c r="F19" s="173"/>
      <c r="G19" s="173"/>
      <c r="H19" s="173"/>
      <c r="I19" s="173"/>
      <c r="J19" s="314"/>
      <c r="K19" s="14"/>
      <c r="L19" s="14"/>
      <c r="M19" s="14"/>
    </row>
    <row r="20" spans="2:13" ht="15.75" x14ac:dyDescent="0.25">
      <c r="B20" s="318"/>
      <c r="C20" s="173"/>
      <c r="D20" s="173"/>
      <c r="E20" s="173"/>
      <c r="F20" s="173"/>
      <c r="G20" s="173"/>
      <c r="H20" s="173"/>
      <c r="I20" s="173"/>
      <c r="J20" s="314"/>
      <c r="K20" s="306"/>
      <c r="L20" s="14"/>
      <c r="M20" s="14"/>
    </row>
    <row r="21" spans="2:13" x14ac:dyDescent="0.2">
      <c r="B21" s="31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2:13" ht="15.75" x14ac:dyDescent="0.25">
      <c r="B22" s="3"/>
      <c r="C22" s="3"/>
      <c r="D22" s="3"/>
      <c r="E22" s="3"/>
      <c r="F22" s="3"/>
      <c r="G22" s="70"/>
    </row>
    <row r="23" spans="2:13" x14ac:dyDescent="0.2">
      <c r="G23" s="8"/>
    </row>
    <row r="24" spans="2:13" ht="15.75" x14ac:dyDescent="0.25">
      <c r="B24" s="6"/>
      <c r="C24" s="6"/>
      <c r="D24" s="6"/>
      <c r="E24" s="6"/>
      <c r="F24" s="6"/>
    </row>
    <row r="29" spans="2:13" s="69" customFormat="1" ht="15.75" x14ac:dyDescent="0.25">
      <c r="B29" s="6"/>
      <c r="C29" s="6"/>
      <c r="D29" s="6"/>
      <c r="E29" s="6"/>
      <c r="F29" s="6"/>
      <c r="G29" s="1"/>
    </row>
    <row r="30" spans="2:13" s="69" customFormat="1" x14ac:dyDescent="0.2">
      <c r="B30" s="1"/>
      <c r="C30" s="1"/>
      <c r="D30" s="1"/>
      <c r="E30" s="1"/>
      <c r="F30" s="1"/>
      <c r="G30" s="1"/>
    </row>
    <row r="32" spans="2:13" s="69" customFormat="1" x14ac:dyDescent="0.2">
      <c r="B32" s="1"/>
      <c r="C32" s="1"/>
      <c r="D32" s="1"/>
      <c r="E32" s="1"/>
      <c r="F32" s="1"/>
      <c r="G32" s="1"/>
    </row>
    <row r="33" spans="2:7" s="69" customFormat="1" ht="15.75" x14ac:dyDescent="0.25">
      <c r="B33" s="6"/>
      <c r="C33" s="6"/>
      <c r="D33" s="6"/>
      <c r="E33" s="6"/>
      <c r="F33" s="6"/>
      <c r="G33" s="1"/>
    </row>
    <row r="34" spans="2:7" s="69" customFormat="1" x14ac:dyDescent="0.2">
      <c r="B34" s="1"/>
      <c r="C34" s="1"/>
      <c r="D34" s="1"/>
      <c r="E34" s="1"/>
      <c r="F34" s="1"/>
      <c r="G34" s="1"/>
    </row>
    <row r="35" spans="2:7" s="69" customFormat="1" x14ac:dyDescent="0.2">
      <c r="B35" s="1"/>
      <c r="C35" s="1"/>
      <c r="D35" s="1"/>
      <c r="E35" s="1"/>
      <c r="F35" s="1"/>
      <c r="G35" s="1"/>
    </row>
    <row r="36" spans="2:7" s="69" customFormat="1" ht="15.75" x14ac:dyDescent="0.25">
      <c r="B36" s="6"/>
      <c r="C36" s="6"/>
      <c r="D36" s="6"/>
      <c r="E36" s="6"/>
      <c r="F36" s="6"/>
      <c r="G36" s="1"/>
    </row>
    <row r="37" spans="2:7" s="69" customFormat="1" ht="15.75" x14ac:dyDescent="0.25">
      <c r="B37" s="6"/>
      <c r="C37" s="6"/>
      <c r="D37" s="6"/>
      <c r="E37" s="6"/>
      <c r="F37" s="6"/>
      <c r="G37" s="1"/>
    </row>
    <row r="38" spans="2:7" s="69" customFormat="1" x14ac:dyDescent="0.2">
      <c r="B38" s="1"/>
      <c r="C38" s="1"/>
      <c r="D38" s="1"/>
      <c r="E38" s="1"/>
      <c r="F38" s="1"/>
      <c r="G38" s="1"/>
    </row>
    <row r="39" spans="2:7" s="69" customFormat="1" x14ac:dyDescent="0.2">
      <c r="B39" s="1"/>
      <c r="C39" s="1"/>
      <c r="D39" s="1"/>
      <c r="E39" s="1"/>
      <c r="F39" s="1"/>
      <c r="G39" s="1"/>
    </row>
    <row r="41" spans="2:7" s="69" customFormat="1" ht="15.75" x14ac:dyDescent="0.25">
      <c r="B41" s="6"/>
      <c r="C41" s="6"/>
      <c r="D41" s="6"/>
      <c r="E41" s="6"/>
      <c r="F41" s="6"/>
      <c r="G41" s="1"/>
    </row>
    <row r="42" spans="2:7" s="69" customFormat="1" ht="15.75" x14ac:dyDescent="0.25">
      <c r="B42" s="6"/>
      <c r="C42" s="6"/>
      <c r="D42" s="6"/>
      <c r="E42" s="6"/>
      <c r="F42" s="6"/>
      <c r="G42" s="1"/>
    </row>
  </sheetData>
  <mergeCells count="1">
    <mergeCell ref="D2:F2"/>
  </mergeCells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A1:C23"/>
  <sheetViews>
    <sheetView tabSelected="1" workbookViewId="0">
      <selection activeCell="A9" sqref="A9"/>
    </sheetView>
  </sheetViews>
  <sheetFormatPr defaultRowHeight="15" x14ac:dyDescent="0.25"/>
  <cols>
    <col min="1" max="1" width="56" style="19" customWidth="1"/>
    <col min="2" max="2" width="19.42578125" style="19" customWidth="1"/>
    <col min="3" max="256" width="9.140625" style="19"/>
    <col min="257" max="257" width="56" style="19" customWidth="1"/>
    <col min="258" max="258" width="19.42578125" style="19" customWidth="1"/>
    <col min="259" max="512" width="9.140625" style="19"/>
    <col min="513" max="513" width="56" style="19" customWidth="1"/>
    <col min="514" max="514" width="19.42578125" style="19" customWidth="1"/>
    <col min="515" max="768" width="9.140625" style="19"/>
    <col min="769" max="769" width="56" style="19" customWidth="1"/>
    <col min="770" max="770" width="19.42578125" style="19" customWidth="1"/>
    <col min="771" max="1024" width="9.140625" style="19"/>
    <col min="1025" max="1025" width="56" style="19" customWidth="1"/>
    <col min="1026" max="1026" width="19.42578125" style="19" customWidth="1"/>
    <col min="1027" max="1280" width="9.140625" style="19"/>
    <col min="1281" max="1281" width="56" style="19" customWidth="1"/>
    <col min="1282" max="1282" width="19.42578125" style="19" customWidth="1"/>
    <col min="1283" max="1536" width="9.140625" style="19"/>
    <col min="1537" max="1537" width="56" style="19" customWidth="1"/>
    <col min="1538" max="1538" width="19.42578125" style="19" customWidth="1"/>
    <col min="1539" max="1792" width="9.140625" style="19"/>
    <col min="1793" max="1793" width="56" style="19" customWidth="1"/>
    <col min="1794" max="1794" width="19.42578125" style="19" customWidth="1"/>
    <col min="1795" max="2048" width="9.140625" style="19"/>
    <col min="2049" max="2049" width="56" style="19" customWidth="1"/>
    <col min="2050" max="2050" width="19.42578125" style="19" customWidth="1"/>
    <col min="2051" max="2304" width="9.140625" style="19"/>
    <col min="2305" max="2305" width="56" style="19" customWidth="1"/>
    <col min="2306" max="2306" width="19.42578125" style="19" customWidth="1"/>
    <col min="2307" max="2560" width="9.140625" style="19"/>
    <col min="2561" max="2561" width="56" style="19" customWidth="1"/>
    <col min="2562" max="2562" width="19.42578125" style="19" customWidth="1"/>
    <col min="2563" max="2816" width="9.140625" style="19"/>
    <col min="2817" max="2817" width="56" style="19" customWidth="1"/>
    <col min="2818" max="2818" width="19.42578125" style="19" customWidth="1"/>
    <col min="2819" max="3072" width="9.140625" style="19"/>
    <col min="3073" max="3073" width="56" style="19" customWidth="1"/>
    <col min="3074" max="3074" width="19.42578125" style="19" customWidth="1"/>
    <col min="3075" max="3328" width="9.140625" style="19"/>
    <col min="3329" max="3329" width="56" style="19" customWidth="1"/>
    <col min="3330" max="3330" width="19.42578125" style="19" customWidth="1"/>
    <col min="3331" max="3584" width="9.140625" style="19"/>
    <col min="3585" max="3585" width="56" style="19" customWidth="1"/>
    <col min="3586" max="3586" width="19.42578125" style="19" customWidth="1"/>
    <col min="3587" max="3840" width="9.140625" style="19"/>
    <col min="3841" max="3841" width="56" style="19" customWidth="1"/>
    <col min="3842" max="3842" width="19.42578125" style="19" customWidth="1"/>
    <col min="3843" max="4096" width="9.140625" style="19"/>
    <col min="4097" max="4097" width="56" style="19" customWidth="1"/>
    <col min="4098" max="4098" width="19.42578125" style="19" customWidth="1"/>
    <col min="4099" max="4352" width="9.140625" style="19"/>
    <col min="4353" max="4353" width="56" style="19" customWidth="1"/>
    <col min="4354" max="4354" width="19.42578125" style="19" customWidth="1"/>
    <col min="4355" max="4608" width="9.140625" style="19"/>
    <col min="4609" max="4609" width="56" style="19" customWidth="1"/>
    <col min="4610" max="4610" width="19.42578125" style="19" customWidth="1"/>
    <col min="4611" max="4864" width="9.140625" style="19"/>
    <col min="4865" max="4865" width="56" style="19" customWidth="1"/>
    <col min="4866" max="4866" width="19.42578125" style="19" customWidth="1"/>
    <col min="4867" max="5120" width="9.140625" style="19"/>
    <col min="5121" max="5121" width="56" style="19" customWidth="1"/>
    <col min="5122" max="5122" width="19.42578125" style="19" customWidth="1"/>
    <col min="5123" max="5376" width="9.140625" style="19"/>
    <col min="5377" max="5377" width="56" style="19" customWidth="1"/>
    <col min="5378" max="5378" width="19.42578125" style="19" customWidth="1"/>
    <col min="5379" max="5632" width="9.140625" style="19"/>
    <col min="5633" max="5633" width="56" style="19" customWidth="1"/>
    <col min="5634" max="5634" width="19.42578125" style="19" customWidth="1"/>
    <col min="5635" max="5888" width="9.140625" style="19"/>
    <col min="5889" max="5889" width="56" style="19" customWidth="1"/>
    <col min="5890" max="5890" width="19.42578125" style="19" customWidth="1"/>
    <col min="5891" max="6144" width="9.140625" style="19"/>
    <col min="6145" max="6145" width="56" style="19" customWidth="1"/>
    <col min="6146" max="6146" width="19.42578125" style="19" customWidth="1"/>
    <col min="6147" max="6400" width="9.140625" style="19"/>
    <col min="6401" max="6401" width="56" style="19" customWidth="1"/>
    <col min="6402" max="6402" width="19.42578125" style="19" customWidth="1"/>
    <col min="6403" max="6656" width="9.140625" style="19"/>
    <col min="6657" max="6657" width="56" style="19" customWidth="1"/>
    <col min="6658" max="6658" width="19.42578125" style="19" customWidth="1"/>
    <col min="6659" max="6912" width="9.140625" style="19"/>
    <col min="6913" max="6913" width="56" style="19" customWidth="1"/>
    <col min="6914" max="6914" width="19.42578125" style="19" customWidth="1"/>
    <col min="6915" max="7168" width="9.140625" style="19"/>
    <col min="7169" max="7169" width="56" style="19" customWidth="1"/>
    <col min="7170" max="7170" width="19.42578125" style="19" customWidth="1"/>
    <col min="7171" max="7424" width="9.140625" style="19"/>
    <col min="7425" max="7425" width="56" style="19" customWidth="1"/>
    <col min="7426" max="7426" width="19.42578125" style="19" customWidth="1"/>
    <col min="7427" max="7680" width="9.140625" style="19"/>
    <col min="7681" max="7681" width="56" style="19" customWidth="1"/>
    <col min="7682" max="7682" width="19.42578125" style="19" customWidth="1"/>
    <col min="7683" max="7936" width="9.140625" style="19"/>
    <col min="7937" max="7937" width="56" style="19" customWidth="1"/>
    <col min="7938" max="7938" width="19.42578125" style="19" customWidth="1"/>
    <col min="7939" max="8192" width="9.140625" style="19"/>
    <col min="8193" max="8193" width="56" style="19" customWidth="1"/>
    <col min="8194" max="8194" width="19.42578125" style="19" customWidth="1"/>
    <col min="8195" max="8448" width="9.140625" style="19"/>
    <col min="8449" max="8449" width="56" style="19" customWidth="1"/>
    <col min="8450" max="8450" width="19.42578125" style="19" customWidth="1"/>
    <col min="8451" max="8704" width="9.140625" style="19"/>
    <col min="8705" max="8705" width="56" style="19" customWidth="1"/>
    <col min="8706" max="8706" width="19.42578125" style="19" customWidth="1"/>
    <col min="8707" max="8960" width="9.140625" style="19"/>
    <col min="8961" max="8961" width="56" style="19" customWidth="1"/>
    <col min="8962" max="8962" width="19.42578125" style="19" customWidth="1"/>
    <col min="8963" max="9216" width="9.140625" style="19"/>
    <col min="9217" max="9217" width="56" style="19" customWidth="1"/>
    <col min="9218" max="9218" width="19.42578125" style="19" customWidth="1"/>
    <col min="9219" max="9472" width="9.140625" style="19"/>
    <col min="9473" max="9473" width="56" style="19" customWidth="1"/>
    <col min="9474" max="9474" width="19.42578125" style="19" customWidth="1"/>
    <col min="9475" max="9728" width="9.140625" style="19"/>
    <col min="9729" max="9729" width="56" style="19" customWidth="1"/>
    <col min="9730" max="9730" width="19.42578125" style="19" customWidth="1"/>
    <col min="9731" max="9984" width="9.140625" style="19"/>
    <col min="9985" max="9985" width="56" style="19" customWidth="1"/>
    <col min="9986" max="9986" width="19.42578125" style="19" customWidth="1"/>
    <col min="9987" max="10240" width="9.140625" style="19"/>
    <col min="10241" max="10241" width="56" style="19" customWidth="1"/>
    <col min="10242" max="10242" width="19.42578125" style="19" customWidth="1"/>
    <col min="10243" max="10496" width="9.140625" style="19"/>
    <col min="10497" max="10497" width="56" style="19" customWidth="1"/>
    <col min="10498" max="10498" width="19.42578125" style="19" customWidth="1"/>
    <col min="10499" max="10752" width="9.140625" style="19"/>
    <col min="10753" max="10753" width="56" style="19" customWidth="1"/>
    <col min="10754" max="10754" width="19.42578125" style="19" customWidth="1"/>
    <col min="10755" max="11008" width="9.140625" style="19"/>
    <col min="11009" max="11009" width="56" style="19" customWidth="1"/>
    <col min="11010" max="11010" width="19.42578125" style="19" customWidth="1"/>
    <col min="11011" max="11264" width="9.140625" style="19"/>
    <col min="11265" max="11265" width="56" style="19" customWidth="1"/>
    <col min="11266" max="11266" width="19.42578125" style="19" customWidth="1"/>
    <col min="11267" max="11520" width="9.140625" style="19"/>
    <col min="11521" max="11521" width="56" style="19" customWidth="1"/>
    <col min="11522" max="11522" width="19.42578125" style="19" customWidth="1"/>
    <col min="11523" max="11776" width="9.140625" style="19"/>
    <col min="11777" max="11777" width="56" style="19" customWidth="1"/>
    <col min="11778" max="11778" width="19.42578125" style="19" customWidth="1"/>
    <col min="11779" max="12032" width="9.140625" style="19"/>
    <col min="12033" max="12033" width="56" style="19" customWidth="1"/>
    <col min="12034" max="12034" width="19.42578125" style="19" customWidth="1"/>
    <col min="12035" max="12288" width="9.140625" style="19"/>
    <col min="12289" max="12289" width="56" style="19" customWidth="1"/>
    <col min="12290" max="12290" width="19.42578125" style="19" customWidth="1"/>
    <col min="12291" max="12544" width="9.140625" style="19"/>
    <col min="12545" max="12545" width="56" style="19" customWidth="1"/>
    <col min="12546" max="12546" width="19.42578125" style="19" customWidth="1"/>
    <col min="12547" max="12800" width="9.140625" style="19"/>
    <col min="12801" max="12801" width="56" style="19" customWidth="1"/>
    <col min="12802" max="12802" width="19.42578125" style="19" customWidth="1"/>
    <col min="12803" max="13056" width="9.140625" style="19"/>
    <col min="13057" max="13057" width="56" style="19" customWidth="1"/>
    <col min="13058" max="13058" width="19.42578125" style="19" customWidth="1"/>
    <col min="13059" max="13312" width="9.140625" style="19"/>
    <col min="13313" max="13313" width="56" style="19" customWidth="1"/>
    <col min="13314" max="13314" width="19.42578125" style="19" customWidth="1"/>
    <col min="13315" max="13568" width="9.140625" style="19"/>
    <col min="13569" max="13569" width="56" style="19" customWidth="1"/>
    <col min="13570" max="13570" width="19.42578125" style="19" customWidth="1"/>
    <col min="13571" max="13824" width="9.140625" style="19"/>
    <col min="13825" max="13825" width="56" style="19" customWidth="1"/>
    <col min="13826" max="13826" width="19.42578125" style="19" customWidth="1"/>
    <col min="13827" max="14080" width="9.140625" style="19"/>
    <col min="14081" max="14081" width="56" style="19" customWidth="1"/>
    <col min="14082" max="14082" width="19.42578125" style="19" customWidth="1"/>
    <col min="14083" max="14336" width="9.140625" style="19"/>
    <col min="14337" max="14337" width="56" style="19" customWidth="1"/>
    <col min="14338" max="14338" width="19.42578125" style="19" customWidth="1"/>
    <col min="14339" max="14592" width="9.140625" style="19"/>
    <col min="14593" max="14593" width="56" style="19" customWidth="1"/>
    <col min="14594" max="14594" width="19.42578125" style="19" customWidth="1"/>
    <col min="14595" max="14848" width="9.140625" style="19"/>
    <col min="14849" max="14849" width="56" style="19" customWidth="1"/>
    <col min="14850" max="14850" width="19.42578125" style="19" customWidth="1"/>
    <col min="14851" max="15104" width="9.140625" style="19"/>
    <col min="15105" max="15105" width="56" style="19" customWidth="1"/>
    <col min="15106" max="15106" width="19.42578125" style="19" customWidth="1"/>
    <col min="15107" max="15360" width="9.140625" style="19"/>
    <col min="15361" max="15361" width="56" style="19" customWidth="1"/>
    <col min="15362" max="15362" width="19.42578125" style="19" customWidth="1"/>
    <col min="15363" max="15616" width="9.140625" style="19"/>
    <col min="15617" max="15617" width="56" style="19" customWidth="1"/>
    <col min="15618" max="15618" width="19.42578125" style="19" customWidth="1"/>
    <col min="15619" max="15872" width="9.140625" style="19"/>
    <col min="15873" max="15873" width="56" style="19" customWidth="1"/>
    <col min="15874" max="15874" width="19.42578125" style="19" customWidth="1"/>
    <col min="15875" max="16128" width="9.140625" style="19"/>
    <col min="16129" max="16129" width="56" style="19" customWidth="1"/>
    <col min="16130" max="16130" width="19.42578125" style="19" customWidth="1"/>
    <col min="16131" max="16384" width="9.140625" style="19"/>
  </cols>
  <sheetData>
    <row r="1" spans="1:3" ht="15.75" x14ac:dyDescent="0.25">
      <c r="A1" s="17" t="s">
        <v>196</v>
      </c>
      <c r="B1" s="18"/>
    </row>
    <row r="2" spans="1:3" ht="15.75" x14ac:dyDescent="0.25">
      <c r="A2" s="215" t="s">
        <v>197</v>
      </c>
      <c r="B2" s="18"/>
    </row>
    <row r="3" spans="1:3" ht="15.75" x14ac:dyDescent="0.25">
      <c r="A3" s="20"/>
    </row>
    <row r="4" spans="1:3" ht="15.75" x14ac:dyDescent="0.25">
      <c r="A4" s="21"/>
      <c r="B4" s="22" t="s">
        <v>15</v>
      </c>
    </row>
    <row r="5" spans="1:3" ht="15.75" x14ac:dyDescent="0.25">
      <c r="A5" s="23" t="s">
        <v>16</v>
      </c>
      <c r="B5" s="114" t="s">
        <v>17</v>
      </c>
      <c r="C5" s="19" t="s">
        <v>198</v>
      </c>
    </row>
    <row r="6" spans="1:3" ht="15.75" x14ac:dyDescent="0.25">
      <c r="A6" s="41"/>
    </row>
    <row r="7" spans="1:3" ht="15.75" x14ac:dyDescent="0.25">
      <c r="A7" s="216"/>
    </row>
    <row r="8" spans="1:3" ht="15.75" x14ac:dyDescent="0.25">
      <c r="A8" s="27"/>
    </row>
    <row r="9" spans="1:3" ht="15.75" x14ac:dyDescent="0.25">
      <c r="A9" s="320" t="s">
        <v>257</v>
      </c>
      <c r="B9" s="115"/>
    </row>
    <row r="10" spans="1:3" ht="15.75" x14ac:dyDescent="0.25">
      <c r="A10" s="55"/>
      <c r="B10" s="115"/>
    </row>
    <row r="11" spans="1:3" ht="15.75" x14ac:dyDescent="0.25">
      <c r="A11" s="55"/>
      <c r="B11" s="116"/>
    </row>
    <row r="12" spans="1:3" ht="15.75" x14ac:dyDescent="0.25">
      <c r="A12" s="65"/>
      <c r="B12" s="117"/>
    </row>
    <row r="13" spans="1:3" ht="15.75" x14ac:dyDescent="0.25">
      <c r="A13" s="65"/>
      <c r="B13" s="117"/>
    </row>
    <row r="14" spans="1:3" ht="15.75" x14ac:dyDescent="0.25">
      <c r="A14" s="65"/>
      <c r="B14" s="118"/>
    </row>
    <row r="15" spans="1:3" ht="15.75" x14ac:dyDescent="0.25">
      <c r="A15" s="56"/>
      <c r="B15" s="118"/>
      <c r="C15" s="217"/>
    </row>
    <row r="16" spans="1:3" ht="15.75" x14ac:dyDescent="0.25">
      <c r="A16" s="113"/>
      <c r="B16" s="118"/>
    </row>
    <row r="17" spans="1:3" ht="15.75" x14ac:dyDescent="0.25">
      <c r="A17" s="65"/>
      <c r="B17" s="118"/>
    </row>
    <row r="18" spans="1:3" ht="15.75" x14ac:dyDescent="0.25">
      <c r="A18" s="65"/>
      <c r="B18" s="118"/>
    </row>
    <row r="19" spans="1:3" ht="15.75" x14ac:dyDescent="0.25">
      <c r="A19" s="65"/>
      <c r="B19" s="118"/>
    </row>
    <row r="20" spans="1:3" ht="15.75" x14ac:dyDescent="0.25">
      <c r="A20" s="65"/>
      <c r="B20" s="118"/>
    </row>
    <row r="21" spans="1:3" ht="15.75" x14ac:dyDescent="0.25">
      <c r="A21" s="54"/>
      <c r="B21" s="118"/>
      <c r="C21" s="217"/>
    </row>
    <row r="22" spans="1:3" ht="15.75" x14ac:dyDescent="0.25">
      <c r="A22" s="56"/>
      <c r="B22" s="119"/>
    </row>
    <row r="23" spans="1:3" ht="15.75" x14ac:dyDescent="0.25">
      <c r="A23" s="37"/>
      <c r="B23" s="3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23"/>
  <sheetViews>
    <sheetView workbookViewId="0">
      <selection activeCell="A11" sqref="A11"/>
    </sheetView>
  </sheetViews>
  <sheetFormatPr defaultRowHeight="15" x14ac:dyDescent="0.25"/>
  <cols>
    <col min="1" max="1" width="56" style="19" customWidth="1"/>
    <col min="2" max="2" width="19.42578125" style="19" customWidth="1"/>
    <col min="3" max="256" width="9.140625" style="19"/>
    <col min="257" max="257" width="56" style="19" customWidth="1"/>
    <col min="258" max="258" width="19.42578125" style="19" customWidth="1"/>
    <col min="259" max="512" width="9.140625" style="19"/>
    <col min="513" max="513" width="56" style="19" customWidth="1"/>
    <col min="514" max="514" width="19.42578125" style="19" customWidth="1"/>
    <col min="515" max="768" width="9.140625" style="19"/>
    <col min="769" max="769" width="56" style="19" customWidth="1"/>
    <col min="770" max="770" width="19.42578125" style="19" customWidth="1"/>
    <col min="771" max="1024" width="9.140625" style="19"/>
    <col min="1025" max="1025" width="56" style="19" customWidth="1"/>
    <col min="1026" max="1026" width="19.42578125" style="19" customWidth="1"/>
    <col min="1027" max="1280" width="9.140625" style="19"/>
    <col min="1281" max="1281" width="56" style="19" customWidth="1"/>
    <col min="1282" max="1282" width="19.42578125" style="19" customWidth="1"/>
    <col min="1283" max="1536" width="9.140625" style="19"/>
    <col min="1537" max="1537" width="56" style="19" customWidth="1"/>
    <col min="1538" max="1538" width="19.42578125" style="19" customWidth="1"/>
    <col min="1539" max="1792" width="9.140625" style="19"/>
    <col min="1793" max="1793" width="56" style="19" customWidth="1"/>
    <col min="1794" max="1794" width="19.42578125" style="19" customWidth="1"/>
    <col min="1795" max="2048" width="9.140625" style="19"/>
    <col min="2049" max="2049" width="56" style="19" customWidth="1"/>
    <col min="2050" max="2050" width="19.42578125" style="19" customWidth="1"/>
    <col min="2051" max="2304" width="9.140625" style="19"/>
    <col min="2305" max="2305" width="56" style="19" customWidth="1"/>
    <col min="2306" max="2306" width="19.42578125" style="19" customWidth="1"/>
    <col min="2307" max="2560" width="9.140625" style="19"/>
    <col min="2561" max="2561" width="56" style="19" customWidth="1"/>
    <col min="2562" max="2562" width="19.42578125" style="19" customWidth="1"/>
    <col min="2563" max="2816" width="9.140625" style="19"/>
    <col min="2817" max="2817" width="56" style="19" customWidth="1"/>
    <col min="2818" max="2818" width="19.42578125" style="19" customWidth="1"/>
    <col min="2819" max="3072" width="9.140625" style="19"/>
    <col min="3073" max="3073" width="56" style="19" customWidth="1"/>
    <col min="3074" max="3074" width="19.42578125" style="19" customWidth="1"/>
    <col min="3075" max="3328" width="9.140625" style="19"/>
    <col min="3329" max="3329" width="56" style="19" customWidth="1"/>
    <col min="3330" max="3330" width="19.42578125" style="19" customWidth="1"/>
    <col min="3331" max="3584" width="9.140625" style="19"/>
    <col min="3585" max="3585" width="56" style="19" customWidth="1"/>
    <col min="3586" max="3586" width="19.42578125" style="19" customWidth="1"/>
    <col min="3587" max="3840" width="9.140625" style="19"/>
    <col min="3841" max="3841" width="56" style="19" customWidth="1"/>
    <col min="3842" max="3842" width="19.42578125" style="19" customWidth="1"/>
    <col min="3843" max="4096" width="9.140625" style="19"/>
    <col min="4097" max="4097" width="56" style="19" customWidth="1"/>
    <col min="4098" max="4098" width="19.42578125" style="19" customWidth="1"/>
    <col min="4099" max="4352" width="9.140625" style="19"/>
    <col min="4353" max="4353" width="56" style="19" customWidth="1"/>
    <col min="4354" max="4354" width="19.42578125" style="19" customWidth="1"/>
    <col min="4355" max="4608" width="9.140625" style="19"/>
    <col min="4609" max="4609" width="56" style="19" customWidth="1"/>
    <col min="4610" max="4610" width="19.42578125" style="19" customWidth="1"/>
    <col min="4611" max="4864" width="9.140625" style="19"/>
    <col min="4865" max="4865" width="56" style="19" customWidth="1"/>
    <col min="4866" max="4866" width="19.42578125" style="19" customWidth="1"/>
    <col min="4867" max="5120" width="9.140625" style="19"/>
    <col min="5121" max="5121" width="56" style="19" customWidth="1"/>
    <col min="5122" max="5122" width="19.42578125" style="19" customWidth="1"/>
    <col min="5123" max="5376" width="9.140625" style="19"/>
    <col min="5377" max="5377" width="56" style="19" customWidth="1"/>
    <col min="5378" max="5378" width="19.42578125" style="19" customWidth="1"/>
    <col min="5379" max="5632" width="9.140625" style="19"/>
    <col min="5633" max="5633" width="56" style="19" customWidth="1"/>
    <col min="5634" max="5634" width="19.42578125" style="19" customWidth="1"/>
    <col min="5635" max="5888" width="9.140625" style="19"/>
    <col min="5889" max="5889" width="56" style="19" customWidth="1"/>
    <col min="5890" max="5890" width="19.42578125" style="19" customWidth="1"/>
    <col min="5891" max="6144" width="9.140625" style="19"/>
    <col min="6145" max="6145" width="56" style="19" customWidth="1"/>
    <col min="6146" max="6146" width="19.42578125" style="19" customWidth="1"/>
    <col min="6147" max="6400" width="9.140625" style="19"/>
    <col min="6401" max="6401" width="56" style="19" customWidth="1"/>
    <col min="6402" max="6402" width="19.42578125" style="19" customWidth="1"/>
    <col min="6403" max="6656" width="9.140625" style="19"/>
    <col min="6657" max="6657" width="56" style="19" customWidth="1"/>
    <col min="6658" max="6658" width="19.42578125" style="19" customWidth="1"/>
    <col min="6659" max="6912" width="9.140625" style="19"/>
    <col min="6913" max="6913" width="56" style="19" customWidth="1"/>
    <col min="6914" max="6914" width="19.42578125" style="19" customWidth="1"/>
    <col min="6915" max="7168" width="9.140625" style="19"/>
    <col min="7169" max="7169" width="56" style="19" customWidth="1"/>
    <col min="7170" max="7170" width="19.42578125" style="19" customWidth="1"/>
    <col min="7171" max="7424" width="9.140625" style="19"/>
    <col min="7425" max="7425" width="56" style="19" customWidth="1"/>
    <col min="7426" max="7426" width="19.42578125" style="19" customWidth="1"/>
    <col min="7427" max="7680" width="9.140625" style="19"/>
    <col min="7681" max="7681" width="56" style="19" customWidth="1"/>
    <col min="7682" max="7682" width="19.42578125" style="19" customWidth="1"/>
    <col min="7683" max="7936" width="9.140625" style="19"/>
    <col min="7937" max="7937" width="56" style="19" customWidth="1"/>
    <col min="7938" max="7938" width="19.42578125" style="19" customWidth="1"/>
    <col min="7939" max="8192" width="9.140625" style="19"/>
    <col min="8193" max="8193" width="56" style="19" customWidth="1"/>
    <col min="8194" max="8194" width="19.42578125" style="19" customWidth="1"/>
    <col min="8195" max="8448" width="9.140625" style="19"/>
    <col min="8449" max="8449" width="56" style="19" customWidth="1"/>
    <col min="8450" max="8450" width="19.42578125" style="19" customWidth="1"/>
    <col min="8451" max="8704" width="9.140625" style="19"/>
    <col min="8705" max="8705" width="56" style="19" customWidth="1"/>
    <col min="8706" max="8706" width="19.42578125" style="19" customWidth="1"/>
    <col min="8707" max="8960" width="9.140625" style="19"/>
    <col min="8961" max="8961" width="56" style="19" customWidth="1"/>
    <col min="8962" max="8962" width="19.42578125" style="19" customWidth="1"/>
    <col min="8963" max="9216" width="9.140625" style="19"/>
    <col min="9217" max="9217" width="56" style="19" customWidth="1"/>
    <col min="9218" max="9218" width="19.42578125" style="19" customWidth="1"/>
    <col min="9219" max="9472" width="9.140625" style="19"/>
    <col min="9473" max="9473" width="56" style="19" customWidth="1"/>
    <col min="9474" max="9474" width="19.42578125" style="19" customWidth="1"/>
    <col min="9475" max="9728" width="9.140625" style="19"/>
    <col min="9729" max="9729" width="56" style="19" customWidth="1"/>
    <col min="9730" max="9730" width="19.42578125" style="19" customWidth="1"/>
    <col min="9731" max="9984" width="9.140625" style="19"/>
    <col min="9985" max="9985" width="56" style="19" customWidth="1"/>
    <col min="9986" max="9986" width="19.42578125" style="19" customWidth="1"/>
    <col min="9987" max="10240" width="9.140625" style="19"/>
    <col min="10241" max="10241" width="56" style="19" customWidth="1"/>
    <col min="10242" max="10242" width="19.42578125" style="19" customWidth="1"/>
    <col min="10243" max="10496" width="9.140625" style="19"/>
    <col min="10497" max="10497" width="56" style="19" customWidth="1"/>
    <col min="10498" max="10498" width="19.42578125" style="19" customWidth="1"/>
    <col min="10499" max="10752" width="9.140625" style="19"/>
    <col min="10753" max="10753" width="56" style="19" customWidth="1"/>
    <col min="10754" max="10754" width="19.42578125" style="19" customWidth="1"/>
    <col min="10755" max="11008" width="9.140625" style="19"/>
    <col min="11009" max="11009" width="56" style="19" customWidth="1"/>
    <col min="11010" max="11010" width="19.42578125" style="19" customWidth="1"/>
    <col min="11011" max="11264" width="9.140625" style="19"/>
    <col min="11265" max="11265" width="56" style="19" customWidth="1"/>
    <col min="11266" max="11266" width="19.42578125" style="19" customWidth="1"/>
    <col min="11267" max="11520" width="9.140625" style="19"/>
    <col min="11521" max="11521" width="56" style="19" customWidth="1"/>
    <col min="11522" max="11522" width="19.42578125" style="19" customWidth="1"/>
    <col min="11523" max="11776" width="9.140625" style="19"/>
    <col min="11777" max="11777" width="56" style="19" customWidth="1"/>
    <col min="11778" max="11778" width="19.42578125" style="19" customWidth="1"/>
    <col min="11779" max="12032" width="9.140625" style="19"/>
    <col min="12033" max="12033" width="56" style="19" customWidth="1"/>
    <col min="12034" max="12034" width="19.42578125" style="19" customWidth="1"/>
    <col min="12035" max="12288" width="9.140625" style="19"/>
    <col min="12289" max="12289" width="56" style="19" customWidth="1"/>
    <col min="12290" max="12290" width="19.42578125" style="19" customWidth="1"/>
    <col min="12291" max="12544" width="9.140625" style="19"/>
    <col min="12545" max="12545" width="56" style="19" customWidth="1"/>
    <col min="12546" max="12546" width="19.42578125" style="19" customWidth="1"/>
    <col min="12547" max="12800" width="9.140625" style="19"/>
    <col min="12801" max="12801" width="56" style="19" customWidth="1"/>
    <col min="12802" max="12802" width="19.42578125" style="19" customWidth="1"/>
    <col min="12803" max="13056" width="9.140625" style="19"/>
    <col min="13057" max="13057" width="56" style="19" customWidth="1"/>
    <col min="13058" max="13058" width="19.42578125" style="19" customWidth="1"/>
    <col min="13059" max="13312" width="9.140625" style="19"/>
    <col min="13313" max="13313" width="56" style="19" customWidth="1"/>
    <col min="13314" max="13314" width="19.42578125" style="19" customWidth="1"/>
    <col min="13315" max="13568" width="9.140625" style="19"/>
    <col min="13569" max="13569" width="56" style="19" customWidth="1"/>
    <col min="13570" max="13570" width="19.42578125" style="19" customWidth="1"/>
    <col min="13571" max="13824" width="9.140625" style="19"/>
    <col min="13825" max="13825" width="56" style="19" customWidth="1"/>
    <col min="13826" max="13826" width="19.42578125" style="19" customWidth="1"/>
    <col min="13827" max="14080" width="9.140625" style="19"/>
    <col min="14081" max="14081" width="56" style="19" customWidth="1"/>
    <col min="14082" max="14082" width="19.42578125" style="19" customWidth="1"/>
    <col min="14083" max="14336" width="9.140625" style="19"/>
    <col min="14337" max="14337" width="56" style="19" customWidth="1"/>
    <col min="14338" max="14338" width="19.42578125" style="19" customWidth="1"/>
    <col min="14339" max="14592" width="9.140625" style="19"/>
    <col min="14593" max="14593" width="56" style="19" customWidth="1"/>
    <col min="14594" max="14594" width="19.42578125" style="19" customWidth="1"/>
    <col min="14595" max="14848" width="9.140625" style="19"/>
    <col min="14849" max="14849" width="56" style="19" customWidth="1"/>
    <col min="14850" max="14850" width="19.42578125" style="19" customWidth="1"/>
    <col min="14851" max="15104" width="9.140625" style="19"/>
    <col min="15105" max="15105" width="56" style="19" customWidth="1"/>
    <col min="15106" max="15106" width="19.42578125" style="19" customWidth="1"/>
    <col min="15107" max="15360" width="9.140625" style="19"/>
    <col min="15361" max="15361" width="56" style="19" customWidth="1"/>
    <col min="15362" max="15362" width="19.42578125" style="19" customWidth="1"/>
    <col min="15363" max="15616" width="9.140625" style="19"/>
    <col min="15617" max="15617" width="56" style="19" customWidth="1"/>
    <col min="15618" max="15618" width="19.42578125" style="19" customWidth="1"/>
    <col min="15619" max="15872" width="9.140625" style="19"/>
    <col min="15873" max="15873" width="56" style="19" customWidth="1"/>
    <col min="15874" max="15874" width="19.42578125" style="19" customWidth="1"/>
    <col min="15875" max="16128" width="9.140625" style="19"/>
    <col min="16129" max="16129" width="56" style="19" customWidth="1"/>
    <col min="16130" max="16130" width="19.42578125" style="19" customWidth="1"/>
    <col min="16131" max="16384" width="9.140625" style="19"/>
  </cols>
  <sheetData>
    <row r="1" spans="1:2" ht="15.75" x14ac:dyDescent="0.25">
      <c r="A1" s="17" t="s">
        <v>196</v>
      </c>
      <c r="B1" s="18"/>
    </row>
    <row r="2" spans="1:2" ht="15.75" x14ac:dyDescent="0.25">
      <c r="A2" s="215" t="s">
        <v>197</v>
      </c>
      <c r="B2" s="18"/>
    </row>
    <row r="3" spans="1:2" ht="15.75" x14ac:dyDescent="0.25">
      <c r="A3" s="20"/>
    </row>
    <row r="4" spans="1:2" ht="15.75" x14ac:dyDescent="0.25">
      <c r="A4" s="21"/>
      <c r="B4" s="22" t="s">
        <v>15</v>
      </c>
    </row>
    <row r="5" spans="1:2" ht="15.75" x14ac:dyDescent="0.25">
      <c r="A5" s="23" t="s">
        <v>16</v>
      </c>
      <c r="B5" s="24"/>
    </row>
    <row r="6" spans="1:2" ht="15.75" x14ac:dyDescent="0.25">
      <c r="A6" s="25"/>
    </row>
    <row r="7" spans="1:2" ht="15.75" x14ac:dyDescent="0.25">
      <c r="A7" s="26"/>
    </row>
    <row r="8" spans="1:2" ht="15.75" x14ac:dyDescent="0.25">
      <c r="A8" s="27"/>
    </row>
    <row r="9" spans="1:2" ht="15.75" x14ac:dyDescent="0.25">
      <c r="A9" s="28"/>
      <c r="B9" s="171"/>
    </row>
    <row r="10" spans="1:2" ht="15.75" x14ac:dyDescent="0.25">
      <c r="A10" s="29"/>
      <c r="B10" s="171"/>
    </row>
    <row r="11" spans="1:2" ht="15.75" x14ac:dyDescent="0.25">
      <c r="A11" s="320" t="s">
        <v>257</v>
      </c>
      <c r="B11" s="31"/>
    </row>
    <row r="12" spans="1:2" ht="15.75" x14ac:dyDescent="0.25">
      <c r="A12" s="30"/>
    </row>
    <row r="13" spans="1:2" ht="15.75" x14ac:dyDescent="0.25">
      <c r="A13" s="25"/>
    </row>
    <row r="14" spans="1:2" ht="15.75" x14ac:dyDescent="0.25">
      <c r="A14" s="32"/>
      <c r="B14" s="171"/>
    </row>
    <row r="15" spans="1:2" ht="15.75" x14ac:dyDescent="0.25">
      <c r="A15" s="32"/>
      <c r="B15" s="171"/>
    </row>
    <row r="16" spans="1:2" ht="15.75" x14ac:dyDescent="0.25">
      <c r="A16" s="32"/>
      <c r="B16" s="171"/>
    </row>
    <row r="17" spans="1:2" ht="15.75" x14ac:dyDescent="0.25">
      <c r="A17" s="32"/>
      <c r="B17" s="171"/>
    </row>
    <row r="18" spans="1:2" ht="15.75" x14ac:dyDescent="0.25">
      <c r="A18" s="33"/>
      <c r="B18" s="34"/>
    </row>
    <row r="19" spans="1:2" ht="15.75" x14ac:dyDescent="0.25">
      <c r="A19" s="35"/>
      <c r="B19" s="36"/>
    </row>
    <row r="20" spans="1:2" ht="15.75" x14ac:dyDescent="0.25">
      <c r="A20" s="29"/>
      <c r="B20" s="171"/>
    </row>
    <row r="21" spans="1:2" ht="15.75" x14ac:dyDescent="0.25">
      <c r="A21" s="29"/>
      <c r="B21" s="171"/>
    </row>
    <row r="22" spans="1:2" ht="15.75" x14ac:dyDescent="0.25">
      <c r="A22" s="33"/>
      <c r="B22" s="34"/>
    </row>
    <row r="23" spans="1:2" ht="15.75" x14ac:dyDescent="0.25">
      <c r="A23" s="37"/>
      <c r="B23" s="3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B1:L29"/>
  <sheetViews>
    <sheetView zoomScaleNormal="100" workbookViewId="0">
      <selection activeCell="B8" sqref="B8"/>
    </sheetView>
  </sheetViews>
  <sheetFormatPr defaultRowHeight="15" x14ac:dyDescent="0.2"/>
  <cols>
    <col min="1" max="1" width="9.140625" style="1"/>
    <col min="2" max="2" width="57.28515625" style="1" bestFit="1" customWidth="1"/>
    <col min="3" max="3" width="14.28515625" style="1" bestFit="1" customWidth="1"/>
    <col min="4" max="6" width="13.42578125" style="1" customWidth="1"/>
    <col min="7" max="7" width="14.28515625" style="1" customWidth="1"/>
    <col min="8" max="11" width="16" style="1" customWidth="1"/>
    <col min="12" max="12" width="11" style="1" bestFit="1" customWidth="1"/>
    <col min="13" max="257" width="9.140625" style="1"/>
    <col min="258" max="258" width="57.28515625" style="1" bestFit="1" customWidth="1"/>
    <col min="259" max="262" width="13.42578125" style="1" customWidth="1"/>
    <col min="263" max="263" width="14.28515625" style="1" customWidth="1"/>
    <col min="264" max="267" width="16" style="1" customWidth="1"/>
    <col min="268" max="268" width="11" style="1" bestFit="1" customWidth="1"/>
    <col min="269" max="513" width="9.140625" style="1"/>
    <col min="514" max="514" width="57.28515625" style="1" bestFit="1" customWidth="1"/>
    <col min="515" max="518" width="13.42578125" style="1" customWidth="1"/>
    <col min="519" max="519" width="14.28515625" style="1" customWidth="1"/>
    <col min="520" max="523" width="16" style="1" customWidth="1"/>
    <col min="524" max="524" width="11" style="1" bestFit="1" customWidth="1"/>
    <col min="525" max="769" width="9.140625" style="1"/>
    <col min="770" max="770" width="57.28515625" style="1" bestFit="1" customWidth="1"/>
    <col min="771" max="774" width="13.42578125" style="1" customWidth="1"/>
    <col min="775" max="775" width="14.28515625" style="1" customWidth="1"/>
    <col min="776" max="779" width="16" style="1" customWidth="1"/>
    <col min="780" max="780" width="11" style="1" bestFit="1" customWidth="1"/>
    <col min="781" max="1025" width="9.140625" style="1"/>
    <col min="1026" max="1026" width="57.28515625" style="1" bestFit="1" customWidth="1"/>
    <col min="1027" max="1030" width="13.42578125" style="1" customWidth="1"/>
    <col min="1031" max="1031" width="14.28515625" style="1" customWidth="1"/>
    <col min="1032" max="1035" width="16" style="1" customWidth="1"/>
    <col min="1036" max="1036" width="11" style="1" bestFit="1" customWidth="1"/>
    <col min="1037" max="1281" width="9.140625" style="1"/>
    <col min="1282" max="1282" width="57.28515625" style="1" bestFit="1" customWidth="1"/>
    <col min="1283" max="1286" width="13.42578125" style="1" customWidth="1"/>
    <col min="1287" max="1287" width="14.28515625" style="1" customWidth="1"/>
    <col min="1288" max="1291" width="16" style="1" customWidth="1"/>
    <col min="1292" max="1292" width="11" style="1" bestFit="1" customWidth="1"/>
    <col min="1293" max="1537" width="9.140625" style="1"/>
    <col min="1538" max="1538" width="57.28515625" style="1" bestFit="1" customWidth="1"/>
    <col min="1539" max="1542" width="13.42578125" style="1" customWidth="1"/>
    <col min="1543" max="1543" width="14.28515625" style="1" customWidth="1"/>
    <col min="1544" max="1547" width="16" style="1" customWidth="1"/>
    <col min="1548" max="1548" width="11" style="1" bestFit="1" customWidth="1"/>
    <col min="1549" max="1793" width="9.140625" style="1"/>
    <col min="1794" max="1794" width="57.28515625" style="1" bestFit="1" customWidth="1"/>
    <col min="1795" max="1798" width="13.42578125" style="1" customWidth="1"/>
    <col min="1799" max="1799" width="14.28515625" style="1" customWidth="1"/>
    <col min="1800" max="1803" width="16" style="1" customWidth="1"/>
    <col min="1804" max="1804" width="11" style="1" bestFit="1" customWidth="1"/>
    <col min="1805" max="2049" width="9.140625" style="1"/>
    <col min="2050" max="2050" width="57.28515625" style="1" bestFit="1" customWidth="1"/>
    <col min="2051" max="2054" width="13.42578125" style="1" customWidth="1"/>
    <col min="2055" max="2055" width="14.28515625" style="1" customWidth="1"/>
    <col min="2056" max="2059" width="16" style="1" customWidth="1"/>
    <col min="2060" max="2060" width="11" style="1" bestFit="1" customWidth="1"/>
    <col min="2061" max="2305" width="9.140625" style="1"/>
    <col min="2306" max="2306" width="57.28515625" style="1" bestFit="1" customWidth="1"/>
    <col min="2307" max="2310" width="13.42578125" style="1" customWidth="1"/>
    <col min="2311" max="2311" width="14.28515625" style="1" customWidth="1"/>
    <col min="2312" max="2315" width="16" style="1" customWidth="1"/>
    <col min="2316" max="2316" width="11" style="1" bestFit="1" customWidth="1"/>
    <col min="2317" max="2561" width="9.140625" style="1"/>
    <col min="2562" max="2562" width="57.28515625" style="1" bestFit="1" customWidth="1"/>
    <col min="2563" max="2566" width="13.42578125" style="1" customWidth="1"/>
    <col min="2567" max="2567" width="14.28515625" style="1" customWidth="1"/>
    <col min="2568" max="2571" width="16" style="1" customWidth="1"/>
    <col min="2572" max="2572" width="11" style="1" bestFit="1" customWidth="1"/>
    <col min="2573" max="2817" width="9.140625" style="1"/>
    <col min="2818" max="2818" width="57.28515625" style="1" bestFit="1" customWidth="1"/>
    <col min="2819" max="2822" width="13.42578125" style="1" customWidth="1"/>
    <col min="2823" max="2823" width="14.28515625" style="1" customWidth="1"/>
    <col min="2824" max="2827" width="16" style="1" customWidth="1"/>
    <col min="2828" max="2828" width="11" style="1" bestFit="1" customWidth="1"/>
    <col min="2829" max="3073" width="9.140625" style="1"/>
    <col min="3074" max="3074" width="57.28515625" style="1" bestFit="1" customWidth="1"/>
    <col min="3075" max="3078" width="13.42578125" style="1" customWidth="1"/>
    <col min="3079" max="3079" width="14.28515625" style="1" customWidth="1"/>
    <col min="3080" max="3083" width="16" style="1" customWidth="1"/>
    <col min="3084" max="3084" width="11" style="1" bestFit="1" customWidth="1"/>
    <col min="3085" max="3329" width="9.140625" style="1"/>
    <col min="3330" max="3330" width="57.28515625" style="1" bestFit="1" customWidth="1"/>
    <col min="3331" max="3334" width="13.42578125" style="1" customWidth="1"/>
    <col min="3335" max="3335" width="14.28515625" style="1" customWidth="1"/>
    <col min="3336" max="3339" width="16" style="1" customWidth="1"/>
    <col min="3340" max="3340" width="11" style="1" bestFit="1" customWidth="1"/>
    <col min="3341" max="3585" width="9.140625" style="1"/>
    <col min="3586" max="3586" width="57.28515625" style="1" bestFit="1" customWidth="1"/>
    <col min="3587" max="3590" width="13.42578125" style="1" customWidth="1"/>
    <col min="3591" max="3591" width="14.28515625" style="1" customWidth="1"/>
    <col min="3592" max="3595" width="16" style="1" customWidth="1"/>
    <col min="3596" max="3596" width="11" style="1" bestFit="1" customWidth="1"/>
    <col min="3597" max="3841" width="9.140625" style="1"/>
    <col min="3842" max="3842" width="57.28515625" style="1" bestFit="1" customWidth="1"/>
    <col min="3843" max="3846" width="13.42578125" style="1" customWidth="1"/>
    <col min="3847" max="3847" width="14.28515625" style="1" customWidth="1"/>
    <col min="3848" max="3851" width="16" style="1" customWidth="1"/>
    <col min="3852" max="3852" width="11" style="1" bestFit="1" customWidth="1"/>
    <col min="3853" max="4097" width="9.140625" style="1"/>
    <col min="4098" max="4098" width="57.28515625" style="1" bestFit="1" customWidth="1"/>
    <col min="4099" max="4102" width="13.42578125" style="1" customWidth="1"/>
    <col min="4103" max="4103" width="14.28515625" style="1" customWidth="1"/>
    <col min="4104" max="4107" width="16" style="1" customWidth="1"/>
    <col min="4108" max="4108" width="11" style="1" bestFit="1" customWidth="1"/>
    <col min="4109" max="4353" width="9.140625" style="1"/>
    <col min="4354" max="4354" width="57.28515625" style="1" bestFit="1" customWidth="1"/>
    <col min="4355" max="4358" width="13.42578125" style="1" customWidth="1"/>
    <col min="4359" max="4359" width="14.28515625" style="1" customWidth="1"/>
    <col min="4360" max="4363" width="16" style="1" customWidth="1"/>
    <col min="4364" max="4364" width="11" style="1" bestFit="1" customWidth="1"/>
    <col min="4365" max="4609" width="9.140625" style="1"/>
    <col min="4610" max="4610" width="57.28515625" style="1" bestFit="1" customWidth="1"/>
    <col min="4611" max="4614" width="13.42578125" style="1" customWidth="1"/>
    <col min="4615" max="4615" width="14.28515625" style="1" customWidth="1"/>
    <col min="4616" max="4619" width="16" style="1" customWidth="1"/>
    <col min="4620" max="4620" width="11" style="1" bestFit="1" customWidth="1"/>
    <col min="4621" max="4865" width="9.140625" style="1"/>
    <col min="4866" max="4866" width="57.28515625" style="1" bestFit="1" customWidth="1"/>
    <col min="4867" max="4870" width="13.42578125" style="1" customWidth="1"/>
    <col min="4871" max="4871" width="14.28515625" style="1" customWidth="1"/>
    <col min="4872" max="4875" width="16" style="1" customWidth="1"/>
    <col min="4876" max="4876" width="11" style="1" bestFit="1" customWidth="1"/>
    <col min="4877" max="5121" width="9.140625" style="1"/>
    <col min="5122" max="5122" width="57.28515625" style="1" bestFit="1" customWidth="1"/>
    <col min="5123" max="5126" width="13.42578125" style="1" customWidth="1"/>
    <col min="5127" max="5127" width="14.28515625" style="1" customWidth="1"/>
    <col min="5128" max="5131" width="16" style="1" customWidth="1"/>
    <col min="5132" max="5132" width="11" style="1" bestFit="1" customWidth="1"/>
    <col min="5133" max="5377" width="9.140625" style="1"/>
    <col min="5378" max="5378" width="57.28515625" style="1" bestFit="1" customWidth="1"/>
    <col min="5379" max="5382" width="13.42578125" style="1" customWidth="1"/>
    <col min="5383" max="5383" width="14.28515625" style="1" customWidth="1"/>
    <col min="5384" max="5387" width="16" style="1" customWidth="1"/>
    <col min="5388" max="5388" width="11" style="1" bestFit="1" customWidth="1"/>
    <col min="5389" max="5633" width="9.140625" style="1"/>
    <col min="5634" max="5634" width="57.28515625" style="1" bestFit="1" customWidth="1"/>
    <col min="5635" max="5638" width="13.42578125" style="1" customWidth="1"/>
    <col min="5639" max="5639" width="14.28515625" style="1" customWidth="1"/>
    <col min="5640" max="5643" width="16" style="1" customWidth="1"/>
    <col min="5644" max="5644" width="11" style="1" bestFit="1" customWidth="1"/>
    <col min="5645" max="5889" width="9.140625" style="1"/>
    <col min="5890" max="5890" width="57.28515625" style="1" bestFit="1" customWidth="1"/>
    <col min="5891" max="5894" width="13.42578125" style="1" customWidth="1"/>
    <col min="5895" max="5895" width="14.28515625" style="1" customWidth="1"/>
    <col min="5896" max="5899" width="16" style="1" customWidth="1"/>
    <col min="5900" max="5900" width="11" style="1" bestFit="1" customWidth="1"/>
    <col min="5901" max="6145" width="9.140625" style="1"/>
    <col min="6146" max="6146" width="57.28515625" style="1" bestFit="1" customWidth="1"/>
    <col min="6147" max="6150" width="13.42578125" style="1" customWidth="1"/>
    <col min="6151" max="6151" width="14.28515625" style="1" customWidth="1"/>
    <col min="6152" max="6155" width="16" style="1" customWidth="1"/>
    <col min="6156" max="6156" width="11" style="1" bestFit="1" customWidth="1"/>
    <col min="6157" max="6401" width="9.140625" style="1"/>
    <col min="6402" max="6402" width="57.28515625" style="1" bestFit="1" customWidth="1"/>
    <col min="6403" max="6406" width="13.42578125" style="1" customWidth="1"/>
    <col min="6407" max="6407" width="14.28515625" style="1" customWidth="1"/>
    <col min="6408" max="6411" width="16" style="1" customWidth="1"/>
    <col min="6412" max="6412" width="11" style="1" bestFit="1" customWidth="1"/>
    <col min="6413" max="6657" width="9.140625" style="1"/>
    <col min="6658" max="6658" width="57.28515625" style="1" bestFit="1" customWidth="1"/>
    <col min="6659" max="6662" width="13.42578125" style="1" customWidth="1"/>
    <col min="6663" max="6663" width="14.28515625" style="1" customWidth="1"/>
    <col min="6664" max="6667" width="16" style="1" customWidth="1"/>
    <col min="6668" max="6668" width="11" style="1" bestFit="1" customWidth="1"/>
    <col min="6669" max="6913" width="9.140625" style="1"/>
    <col min="6914" max="6914" width="57.28515625" style="1" bestFit="1" customWidth="1"/>
    <col min="6915" max="6918" width="13.42578125" style="1" customWidth="1"/>
    <col min="6919" max="6919" width="14.28515625" style="1" customWidth="1"/>
    <col min="6920" max="6923" width="16" style="1" customWidth="1"/>
    <col min="6924" max="6924" width="11" style="1" bestFit="1" customWidth="1"/>
    <col min="6925" max="7169" width="9.140625" style="1"/>
    <col min="7170" max="7170" width="57.28515625" style="1" bestFit="1" customWidth="1"/>
    <col min="7171" max="7174" width="13.42578125" style="1" customWidth="1"/>
    <col min="7175" max="7175" width="14.28515625" style="1" customWidth="1"/>
    <col min="7176" max="7179" width="16" style="1" customWidth="1"/>
    <col min="7180" max="7180" width="11" style="1" bestFit="1" customWidth="1"/>
    <col min="7181" max="7425" width="9.140625" style="1"/>
    <col min="7426" max="7426" width="57.28515625" style="1" bestFit="1" customWidth="1"/>
    <col min="7427" max="7430" width="13.42578125" style="1" customWidth="1"/>
    <col min="7431" max="7431" width="14.28515625" style="1" customWidth="1"/>
    <col min="7432" max="7435" width="16" style="1" customWidth="1"/>
    <col min="7436" max="7436" width="11" style="1" bestFit="1" customWidth="1"/>
    <col min="7437" max="7681" width="9.140625" style="1"/>
    <col min="7682" max="7682" width="57.28515625" style="1" bestFit="1" customWidth="1"/>
    <col min="7683" max="7686" width="13.42578125" style="1" customWidth="1"/>
    <col min="7687" max="7687" width="14.28515625" style="1" customWidth="1"/>
    <col min="7688" max="7691" width="16" style="1" customWidth="1"/>
    <col min="7692" max="7692" width="11" style="1" bestFit="1" customWidth="1"/>
    <col min="7693" max="7937" width="9.140625" style="1"/>
    <col min="7938" max="7938" width="57.28515625" style="1" bestFit="1" customWidth="1"/>
    <col min="7939" max="7942" width="13.42578125" style="1" customWidth="1"/>
    <col min="7943" max="7943" width="14.28515625" style="1" customWidth="1"/>
    <col min="7944" max="7947" width="16" style="1" customWidth="1"/>
    <col min="7948" max="7948" width="11" style="1" bestFit="1" customWidth="1"/>
    <col min="7949" max="8193" width="9.140625" style="1"/>
    <col min="8194" max="8194" width="57.28515625" style="1" bestFit="1" customWidth="1"/>
    <col min="8195" max="8198" width="13.42578125" style="1" customWidth="1"/>
    <col min="8199" max="8199" width="14.28515625" style="1" customWidth="1"/>
    <col min="8200" max="8203" width="16" style="1" customWidth="1"/>
    <col min="8204" max="8204" width="11" style="1" bestFit="1" customWidth="1"/>
    <col min="8205" max="8449" width="9.140625" style="1"/>
    <col min="8450" max="8450" width="57.28515625" style="1" bestFit="1" customWidth="1"/>
    <col min="8451" max="8454" width="13.42578125" style="1" customWidth="1"/>
    <col min="8455" max="8455" width="14.28515625" style="1" customWidth="1"/>
    <col min="8456" max="8459" width="16" style="1" customWidth="1"/>
    <col min="8460" max="8460" width="11" style="1" bestFit="1" customWidth="1"/>
    <col min="8461" max="8705" width="9.140625" style="1"/>
    <col min="8706" max="8706" width="57.28515625" style="1" bestFit="1" customWidth="1"/>
    <col min="8707" max="8710" width="13.42578125" style="1" customWidth="1"/>
    <col min="8711" max="8711" width="14.28515625" style="1" customWidth="1"/>
    <col min="8712" max="8715" width="16" style="1" customWidth="1"/>
    <col min="8716" max="8716" width="11" style="1" bestFit="1" customWidth="1"/>
    <col min="8717" max="8961" width="9.140625" style="1"/>
    <col min="8962" max="8962" width="57.28515625" style="1" bestFit="1" customWidth="1"/>
    <col min="8963" max="8966" width="13.42578125" style="1" customWidth="1"/>
    <col min="8967" max="8967" width="14.28515625" style="1" customWidth="1"/>
    <col min="8968" max="8971" width="16" style="1" customWidth="1"/>
    <col min="8972" max="8972" width="11" style="1" bestFit="1" customWidth="1"/>
    <col min="8973" max="9217" width="9.140625" style="1"/>
    <col min="9218" max="9218" width="57.28515625" style="1" bestFit="1" customWidth="1"/>
    <col min="9219" max="9222" width="13.42578125" style="1" customWidth="1"/>
    <col min="9223" max="9223" width="14.28515625" style="1" customWidth="1"/>
    <col min="9224" max="9227" width="16" style="1" customWidth="1"/>
    <col min="9228" max="9228" width="11" style="1" bestFit="1" customWidth="1"/>
    <col min="9229" max="9473" width="9.140625" style="1"/>
    <col min="9474" max="9474" width="57.28515625" style="1" bestFit="1" customWidth="1"/>
    <col min="9475" max="9478" width="13.42578125" style="1" customWidth="1"/>
    <col min="9479" max="9479" width="14.28515625" style="1" customWidth="1"/>
    <col min="9480" max="9483" width="16" style="1" customWidth="1"/>
    <col min="9484" max="9484" width="11" style="1" bestFit="1" customWidth="1"/>
    <col min="9485" max="9729" width="9.140625" style="1"/>
    <col min="9730" max="9730" width="57.28515625" style="1" bestFit="1" customWidth="1"/>
    <col min="9731" max="9734" width="13.42578125" style="1" customWidth="1"/>
    <col min="9735" max="9735" width="14.28515625" style="1" customWidth="1"/>
    <col min="9736" max="9739" width="16" style="1" customWidth="1"/>
    <col min="9740" max="9740" width="11" style="1" bestFit="1" customWidth="1"/>
    <col min="9741" max="9985" width="9.140625" style="1"/>
    <col min="9986" max="9986" width="57.28515625" style="1" bestFit="1" customWidth="1"/>
    <col min="9987" max="9990" width="13.42578125" style="1" customWidth="1"/>
    <col min="9991" max="9991" width="14.28515625" style="1" customWidth="1"/>
    <col min="9992" max="9995" width="16" style="1" customWidth="1"/>
    <col min="9996" max="9996" width="11" style="1" bestFit="1" customWidth="1"/>
    <col min="9997" max="10241" width="9.140625" style="1"/>
    <col min="10242" max="10242" width="57.28515625" style="1" bestFit="1" customWidth="1"/>
    <col min="10243" max="10246" width="13.42578125" style="1" customWidth="1"/>
    <col min="10247" max="10247" width="14.28515625" style="1" customWidth="1"/>
    <col min="10248" max="10251" width="16" style="1" customWidth="1"/>
    <col min="10252" max="10252" width="11" style="1" bestFit="1" customWidth="1"/>
    <col min="10253" max="10497" width="9.140625" style="1"/>
    <col min="10498" max="10498" width="57.28515625" style="1" bestFit="1" customWidth="1"/>
    <col min="10499" max="10502" width="13.42578125" style="1" customWidth="1"/>
    <col min="10503" max="10503" width="14.28515625" style="1" customWidth="1"/>
    <col min="10504" max="10507" width="16" style="1" customWidth="1"/>
    <col min="10508" max="10508" width="11" style="1" bestFit="1" customWidth="1"/>
    <col min="10509" max="10753" width="9.140625" style="1"/>
    <col min="10754" max="10754" width="57.28515625" style="1" bestFit="1" customWidth="1"/>
    <col min="10755" max="10758" width="13.42578125" style="1" customWidth="1"/>
    <col min="10759" max="10759" width="14.28515625" style="1" customWidth="1"/>
    <col min="10760" max="10763" width="16" style="1" customWidth="1"/>
    <col min="10764" max="10764" width="11" style="1" bestFit="1" customWidth="1"/>
    <col min="10765" max="11009" width="9.140625" style="1"/>
    <col min="11010" max="11010" width="57.28515625" style="1" bestFit="1" customWidth="1"/>
    <col min="11011" max="11014" width="13.42578125" style="1" customWidth="1"/>
    <col min="11015" max="11015" width="14.28515625" style="1" customWidth="1"/>
    <col min="11016" max="11019" width="16" style="1" customWidth="1"/>
    <col min="11020" max="11020" width="11" style="1" bestFit="1" customWidth="1"/>
    <col min="11021" max="11265" width="9.140625" style="1"/>
    <col min="11266" max="11266" width="57.28515625" style="1" bestFit="1" customWidth="1"/>
    <col min="11267" max="11270" width="13.42578125" style="1" customWidth="1"/>
    <col min="11271" max="11271" width="14.28515625" style="1" customWidth="1"/>
    <col min="11272" max="11275" width="16" style="1" customWidth="1"/>
    <col min="11276" max="11276" width="11" style="1" bestFit="1" customWidth="1"/>
    <col min="11277" max="11521" width="9.140625" style="1"/>
    <col min="11522" max="11522" width="57.28515625" style="1" bestFit="1" customWidth="1"/>
    <col min="11523" max="11526" width="13.42578125" style="1" customWidth="1"/>
    <col min="11527" max="11527" width="14.28515625" style="1" customWidth="1"/>
    <col min="11528" max="11531" width="16" style="1" customWidth="1"/>
    <col min="11532" max="11532" width="11" style="1" bestFit="1" customWidth="1"/>
    <col min="11533" max="11777" width="9.140625" style="1"/>
    <col min="11778" max="11778" width="57.28515625" style="1" bestFit="1" customWidth="1"/>
    <col min="11779" max="11782" width="13.42578125" style="1" customWidth="1"/>
    <col min="11783" max="11783" width="14.28515625" style="1" customWidth="1"/>
    <col min="11784" max="11787" width="16" style="1" customWidth="1"/>
    <col min="11788" max="11788" width="11" style="1" bestFit="1" customWidth="1"/>
    <col min="11789" max="12033" width="9.140625" style="1"/>
    <col min="12034" max="12034" width="57.28515625" style="1" bestFit="1" customWidth="1"/>
    <col min="12035" max="12038" width="13.42578125" style="1" customWidth="1"/>
    <col min="12039" max="12039" width="14.28515625" style="1" customWidth="1"/>
    <col min="12040" max="12043" width="16" style="1" customWidth="1"/>
    <col min="12044" max="12044" width="11" style="1" bestFit="1" customWidth="1"/>
    <col min="12045" max="12289" width="9.140625" style="1"/>
    <col min="12290" max="12290" width="57.28515625" style="1" bestFit="1" customWidth="1"/>
    <col min="12291" max="12294" width="13.42578125" style="1" customWidth="1"/>
    <col min="12295" max="12295" width="14.28515625" style="1" customWidth="1"/>
    <col min="12296" max="12299" width="16" style="1" customWidth="1"/>
    <col min="12300" max="12300" width="11" style="1" bestFit="1" customWidth="1"/>
    <col min="12301" max="12545" width="9.140625" style="1"/>
    <col min="12546" max="12546" width="57.28515625" style="1" bestFit="1" customWidth="1"/>
    <col min="12547" max="12550" width="13.42578125" style="1" customWidth="1"/>
    <col min="12551" max="12551" width="14.28515625" style="1" customWidth="1"/>
    <col min="12552" max="12555" width="16" style="1" customWidth="1"/>
    <col min="12556" max="12556" width="11" style="1" bestFit="1" customWidth="1"/>
    <col min="12557" max="12801" width="9.140625" style="1"/>
    <col min="12802" max="12802" width="57.28515625" style="1" bestFit="1" customWidth="1"/>
    <col min="12803" max="12806" width="13.42578125" style="1" customWidth="1"/>
    <col min="12807" max="12807" width="14.28515625" style="1" customWidth="1"/>
    <col min="12808" max="12811" width="16" style="1" customWidth="1"/>
    <col min="12812" max="12812" width="11" style="1" bestFit="1" customWidth="1"/>
    <col min="12813" max="13057" width="9.140625" style="1"/>
    <col min="13058" max="13058" width="57.28515625" style="1" bestFit="1" customWidth="1"/>
    <col min="13059" max="13062" width="13.42578125" style="1" customWidth="1"/>
    <col min="13063" max="13063" width="14.28515625" style="1" customWidth="1"/>
    <col min="13064" max="13067" width="16" style="1" customWidth="1"/>
    <col min="13068" max="13068" width="11" style="1" bestFit="1" customWidth="1"/>
    <col min="13069" max="13313" width="9.140625" style="1"/>
    <col min="13314" max="13314" width="57.28515625" style="1" bestFit="1" customWidth="1"/>
    <col min="13315" max="13318" width="13.42578125" style="1" customWidth="1"/>
    <col min="13319" max="13319" width="14.28515625" style="1" customWidth="1"/>
    <col min="13320" max="13323" width="16" style="1" customWidth="1"/>
    <col min="13324" max="13324" width="11" style="1" bestFit="1" customWidth="1"/>
    <col min="13325" max="13569" width="9.140625" style="1"/>
    <col min="13570" max="13570" width="57.28515625" style="1" bestFit="1" customWidth="1"/>
    <col min="13571" max="13574" width="13.42578125" style="1" customWidth="1"/>
    <col min="13575" max="13575" width="14.28515625" style="1" customWidth="1"/>
    <col min="13576" max="13579" width="16" style="1" customWidth="1"/>
    <col min="13580" max="13580" width="11" style="1" bestFit="1" customWidth="1"/>
    <col min="13581" max="13825" width="9.140625" style="1"/>
    <col min="13826" max="13826" width="57.28515625" style="1" bestFit="1" customWidth="1"/>
    <col min="13827" max="13830" width="13.42578125" style="1" customWidth="1"/>
    <col min="13831" max="13831" width="14.28515625" style="1" customWidth="1"/>
    <col min="13832" max="13835" width="16" style="1" customWidth="1"/>
    <col min="13836" max="13836" width="11" style="1" bestFit="1" customWidth="1"/>
    <col min="13837" max="14081" width="9.140625" style="1"/>
    <col min="14082" max="14082" width="57.28515625" style="1" bestFit="1" customWidth="1"/>
    <col min="14083" max="14086" width="13.42578125" style="1" customWidth="1"/>
    <col min="14087" max="14087" width="14.28515625" style="1" customWidth="1"/>
    <col min="14088" max="14091" width="16" style="1" customWidth="1"/>
    <col min="14092" max="14092" width="11" style="1" bestFit="1" customWidth="1"/>
    <col min="14093" max="14337" width="9.140625" style="1"/>
    <col min="14338" max="14338" width="57.28515625" style="1" bestFit="1" customWidth="1"/>
    <col min="14339" max="14342" width="13.42578125" style="1" customWidth="1"/>
    <col min="14343" max="14343" width="14.28515625" style="1" customWidth="1"/>
    <col min="14344" max="14347" width="16" style="1" customWidth="1"/>
    <col min="14348" max="14348" width="11" style="1" bestFit="1" customWidth="1"/>
    <col min="14349" max="14593" width="9.140625" style="1"/>
    <col min="14594" max="14594" width="57.28515625" style="1" bestFit="1" customWidth="1"/>
    <col min="14595" max="14598" width="13.42578125" style="1" customWidth="1"/>
    <col min="14599" max="14599" width="14.28515625" style="1" customWidth="1"/>
    <col min="14600" max="14603" width="16" style="1" customWidth="1"/>
    <col min="14604" max="14604" width="11" style="1" bestFit="1" customWidth="1"/>
    <col min="14605" max="14849" width="9.140625" style="1"/>
    <col min="14850" max="14850" width="57.28515625" style="1" bestFit="1" customWidth="1"/>
    <col min="14851" max="14854" width="13.42578125" style="1" customWidth="1"/>
    <col min="14855" max="14855" width="14.28515625" style="1" customWidth="1"/>
    <col min="14856" max="14859" width="16" style="1" customWidth="1"/>
    <col min="14860" max="14860" width="11" style="1" bestFit="1" customWidth="1"/>
    <col min="14861" max="15105" width="9.140625" style="1"/>
    <col min="15106" max="15106" width="57.28515625" style="1" bestFit="1" customWidth="1"/>
    <col min="15107" max="15110" width="13.42578125" style="1" customWidth="1"/>
    <col min="15111" max="15111" width="14.28515625" style="1" customWidth="1"/>
    <col min="15112" max="15115" width="16" style="1" customWidth="1"/>
    <col min="15116" max="15116" width="11" style="1" bestFit="1" customWidth="1"/>
    <col min="15117" max="15361" width="9.140625" style="1"/>
    <col min="15362" max="15362" width="57.28515625" style="1" bestFit="1" customWidth="1"/>
    <col min="15363" max="15366" width="13.42578125" style="1" customWidth="1"/>
    <col min="15367" max="15367" width="14.28515625" style="1" customWidth="1"/>
    <col min="15368" max="15371" width="16" style="1" customWidth="1"/>
    <col min="15372" max="15372" width="11" style="1" bestFit="1" customWidth="1"/>
    <col min="15373" max="15617" width="9.140625" style="1"/>
    <col min="15618" max="15618" width="57.28515625" style="1" bestFit="1" customWidth="1"/>
    <col min="15619" max="15622" width="13.42578125" style="1" customWidth="1"/>
    <col min="15623" max="15623" width="14.28515625" style="1" customWidth="1"/>
    <col min="15624" max="15627" width="16" style="1" customWidth="1"/>
    <col min="15628" max="15628" width="11" style="1" bestFit="1" customWidth="1"/>
    <col min="15629" max="15873" width="9.140625" style="1"/>
    <col min="15874" max="15874" width="57.28515625" style="1" bestFit="1" customWidth="1"/>
    <col min="15875" max="15878" width="13.42578125" style="1" customWidth="1"/>
    <col min="15879" max="15879" width="14.28515625" style="1" customWidth="1"/>
    <col min="15880" max="15883" width="16" style="1" customWidth="1"/>
    <col min="15884" max="15884" width="11" style="1" bestFit="1" customWidth="1"/>
    <col min="15885" max="16129" width="9.140625" style="1"/>
    <col min="16130" max="16130" width="57.28515625" style="1" bestFit="1" customWidth="1"/>
    <col min="16131" max="16134" width="13.42578125" style="1" customWidth="1"/>
    <col min="16135" max="16135" width="14.28515625" style="1" customWidth="1"/>
    <col min="16136" max="16139" width="16" style="1" customWidth="1"/>
    <col min="16140" max="16140" width="11" style="1" bestFit="1" customWidth="1"/>
    <col min="16141" max="16384" width="9.140625" style="1"/>
  </cols>
  <sheetData>
    <row r="1" spans="2:12" x14ac:dyDescent="0.2">
      <c r="B1" s="1" t="s">
        <v>0</v>
      </c>
    </row>
    <row r="2" spans="2:12" ht="30" customHeight="1" x14ac:dyDescent="0.2">
      <c r="D2" s="295" t="s">
        <v>1</v>
      </c>
      <c r="E2" s="295"/>
      <c r="F2" s="295"/>
    </row>
    <row r="3" spans="2:12" ht="60" x14ac:dyDescent="0.2">
      <c r="B3" s="2"/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</row>
    <row r="4" spans="2:12" s="14" customFormat="1" x14ac:dyDescent="0.2">
      <c r="D4" s="306"/>
      <c r="E4" s="306"/>
      <c r="F4" s="306"/>
      <c r="G4" s="306"/>
      <c r="H4" s="306"/>
      <c r="I4" s="306"/>
      <c r="J4" s="306"/>
      <c r="K4" s="306"/>
      <c r="L4" s="306"/>
    </row>
    <row r="5" spans="2:12" s="14" customFormat="1" x14ac:dyDescent="0.2">
      <c r="C5" s="306"/>
      <c r="D5" s="306"/>
      <c r="E5" s="306"/>
      <c r="F5" s="306"/>
      <c r="G5" s="306"/>
      <c r="H5" s="306"/>
      <c r="I5" s="306"/>
      <c r="J5" s="306"/>
      <c r="K5" s="306"/>
    </row>
    <row r="6" spans="2:12" s="14" customFormat="1" x14ac:dyDescent="0.2">
      <c r="D6" s="306"/>
      <c r="E6" s="306"/>
      <c r="F6" s="306"/>
      <c r="G6" s="306"/>
      <c r="H6" s="306"/>
      <c r="I6" s="306"/>
      <c r="J6" s="306"/>
      <c r="K6" s="306"/>
    </row>
    <row r="7" spans="2:12" s="14" customFormat="1" x14ac:dyDescent="0.2">
      <c r="D7" s="120"/>
      <c r="E7" s="120"/>
      <c r="F7" s="120"/>
      <c r="G7" s="120"/>
      <c r="H7" s="120"/>
      <c r="I7" s="120"/>
      <c r="J7" s="120"/>
      <c r="K7" s="120"/>
    </row>
    <row r="8" spans="2:12" s="14" customFormat="1" ht="15.75" x14ac:dyDescent="0.25">
      <c r="B8" s="320" t="s">
        <v>257</v>
      </c>
    </row>
    <row r="9" spans="2:12" s="14" customFormat="1" ht="15.75" x14ac:dyDescent="0.25">
      <c r="C9" s="173"/>
      <c r="D9" s="173"/>
      <c r="E9" s="173"/>
      <c r="F9" s="173"/>
    </row>
    <row r="10" spans="2:12" s="14" customFormat="1" ht="15.75" x14ac:dyDescent="0.25">
      <c r="B10" s="321"/>
      <c r="C10" s="331"/>
      <c r="D10" s="11"/>
      <c r="E10" s="11"/>
      <c r="F10" s="11"/>
      <c r="G10" s="121"/>
      <c r="H10" s="121"/>
      <c r="I10" s="121"/>
      <c r="J10" s="121"/>
      <c r="K10" s="121"/>
      <c r="L10" s="282"/>
    </row>
    <row r="11" spans="2:12" s="14" customFormat="1" x14ac:dyDescent="0.2">
      <c r="B11" s="322"/>
      <c r="C11" s="332"/>
      <c r="D11" s="11"/>
      <c r="E11" s="11"/>
      <c r="F11" s="11"/>
      <c r="G11" s="121"/>
      <c r="H11" s="121"/>
      <c r="I11" s="121"/>
      <c r="J11" s="121"/>
      <c r="K11" s="121"/>
      <c r="L11" s="282"/>
    </row>
    <row r="12" spans="2:12" s="14" customFormat="1" ht="15.75" x14ac:dyDescent="0.25">
      <c r="B12" s="323"/>
      <c r="C12" s="333"/>
      <c r="D12" s="282"/>
      <c r="E12" s="282"/>
      <c r="F12" s="282"/>
      <c r="L12" s="324"/>
    </row>
    <row r="13" spans="2:12" s="14" customFormat="1" x14ac:dyDescent="0.2">
      <c r="C13" s="301"/>
    </row>
    <row r="14" spans="2:12" s="14" customFormat="1" ht="15.75" x14ac:dyDescent="0.25">
      <c r="B14" s="325"/>
      <c r="C14" s="301"/>
    </row>
    <row r="15" spans="2:12" s="14" customFormat="1" x14ac:dyDescent="0.2">
      <c r="B15" s="326"/>
      <c r="C15" s="223"/>
    </row>
    <row r="16" spans="2:12" s="14" customFormat="1" x14ac:dyDescent="0.2">
      <c r="B16" s="326"/>
      <c r="C16" s="223"/>
    </row>
    <row r="17" spans="2:3" s="14" customFormat="1" x14ac:dyDescent="0.2">
      <c r="B17" s="326"/>
      <c r="C17" s="223"/>
    </row>
    <row r="18" spans="2:3" s="14" customFormat="1" x14ac:dyDescent="0.2">
      <c r="B18" s="327"/>
      <c r="C18" s="11"/>
    </row>
    <row r="19" spans="2:3" s="14" customFormat="1" ht="15.75" x14ac:dyDescent="0.25">
      <c r="B19" s="328"/>
      <c r="C19" s="11"/>
    </row>
    <row r="20" spans="2:3" s="14" customFormat="1" ht="15.75" x14ac:dyDescent="0.25">
      <c r="B20" s="329"/>
      <c r="C20" s="11"/>
    </row>
    <row r="21" spans="2:3" s="14" customFormat="1" x14ac:dyDescent="0.2">
      <c r="B21" s="330"/>
      <c r="C21" s="223"/>
    </row>
    <row r="22" spans="2:3" s="14" customFormat="1" x14ac:dyDescent="0.2">
      <c r="B22" s="330"/>
      <c r="C22" s="223"/>
    </row>
    <row r="23" spans="2:3" s="14" customFormat="1" ht="15.75" x14ac:dyDescent="0.25">
      <c r="B23" s="328"/>
    </row>
    <row r="24" spans="2:3" s="14" customFormat="1" ht="15.75" x14ac:dyDescent="0.25">
      <c r="B24" s="15"/>
    </row>
    <row r="25" spans="2:3" s="14" customFormat="1" x14ac:dyDescent="0.2"/>
    <row r="29" spans="2:3" x14ac:dyDescent="0.2">
      <c r="B29" s="16" t="s">
        <v>14</v>
      </c>
    </row>
  </sheetData>
  <mergeCells count="1">
    <mergeCell ref="D2:F2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MD Fees CHIR</vt:lpstr>
      <vt:lpstr>FCM</vt:lpstr>
      <vt:lpstr>SM</vt:lpstr>
      <vt:lpstr>PER</vt:lpstr>
      <vt:lpstr>PS</vt:lpstr>
      <vt:lpstr>Int'l</vt:lpstr>
      <vt:lpstr>COMP Fees CHIR</vt:lpstr>
      <vt:lpstr>International Comp Dist</vt:lpstr>
      <vt:lpstr>PMC</vt:lpstr>
      <vt:lpstr>Competitive</vt:lpstr>
      <vt:lpstr>MD Distribution CHIR 1 Q 10</vt:lpstr>
      <vt:lpstr>MD Distribution CHIR Q7</vt:lpstr>
      <vt:lpstr>SM!OLE_LINK1</vt:lpstr>
      <vt:lpstr>'MD Distribution CHIR 1 Q 10'!Print_Area</vt:lpstr>
    </vt:vector>
  </TitlesOfParts>
  <Company>US Postal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lawrencb</dc:creator>
  <cp:lastModifiedBy>LAWRENCE, CLAUDE B</cp:lastModifiedBy>
  <dcterms:created xsi:type="dcterms:W3CDTF">2013-01-17T19:25:43Z</dcterms:created>
  <dcterms:modified xsi:type="dcterms:W3CDTF">2014-03-07T16:21:59Z</dcterms:modified>
</cp:coreProperties>
</file>